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3.xml" ContentType="application/vnd.openxmlformats-officedocument.themeOverride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charts/chart22.xml" ContentType="application/vnd.openxmlformats-officedocument.drawingml.chart+xml"/>
  <Override PartName="/xl/theme/themeOverride5.xml" ContentType="application/vnd.openxmlformats-officedocument.themeOverride+xml"/>
  <Override PartName="/xl/charts/chart23.xml" ContentType="application/vnd.openxmlformats-officedocument.drawingml.chart+xml"/>
  <Override PartName="/xl/theme/themeOverride6.xml" ContentType="application/vnd.openxmlformats-officedocument.themeOverride+xml"/>
  <Override PartName="/xl/charts/chart24.xml" ContentType="application/vnd.openxmlformats-officedocument.drawingml.chart+xml"/>
  <Override PartName="/xl/theme/themeOverride7.xml" ContentType="application/vnd.openxmlformats-officedocument.themeOverride+xml"/>
  <Override PartName="/xl/charts/chart25.xml" ContentType="application/vnd.openxmlformats-officedocument.drawingml.chart+xml"/>
  <Override PartName="/xl/theme/themeOverride8.xml" ContentType="application/vnd.openxmlformats-officedocument.themeOverride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8240" windowHeight="11565"/>
  </bookViews>
  <sheets>
    <sheet name="Sheet1" sheetId="1" r:id="rId1"/>
    <sheet name="Energieperspektiven" sheetId="2" r:id="rId2"/>
  </sheets>
  <definedNames>
    <definedName name="_xlnm._FilterDatabase" localSheetId="1" hidden="1">Energieperspektiven!$C$2:$C$1241</definedName>
    <definedName name="_xlnm._FilterDatabase" localSheetId="0" hidden="1">Sheet1!$C$3:$C$2750</definedName>
  </definedNames>
  <calcPr calcId="145621"/>
</workbook>
</file>

<file path=xl/calcChain.xml><?xml version="1.0" encoding="utf-8"?>
<calcChain xmlns="http://schemas.openxmlformats.org/spreadsheetml/2006/main">
  <c r="D197" i="1" l="1"/>
  <c r="D196" i="1"/>
  <c r="D194" i="1"/>
  <c r="D191" i="1"/>
  <c r="D190" i="1"/>
  <c r="D189" i="1"/>
  <c r="D188" i="1"/>
  <c r="D187" i="1"/>
  <c r="D174" i="1"/>
  <c r="D173" i="1"/>
  <c r="D171" i="1"/>
  <c r="D168" i="1"/>
  <c r="D167" i="1"/>
  <c r="D166" i="1"/>
  <c r="D165" i="1"/>
  <c r="D164" i="1"/>
  <c r="D151" i="1"/>
  <c r="D150" i="1"/>
  <c r="D148" i="1"/>
  <c r="D145" i="1"/>
  <c r="D144" i="1"/>
  <c r="D143" i="1"/>
  <c r="D142" i="1"/>
  <c r="D141" i="1"/>
  <c r="D128" i="1"/>
  <c r="D127" i="1"/>
  <c r="D125" i="1"/>
  <c r="D122" i="1"/>
  <c r="D121" i="1"/>
  <c r="D120" i="1"/>
  <c r="D119" i="1"/>
  <c r="D118" i="1"/>
  <c r="P73" i="1"/>
  <c r="Q73" i="1"/>
  <c r="R73" i="1"/>
  <c r="S73" i="1"/>
  <c r="Q82" i="1"/>
  <c r="R82" i="1"/>
  <c r="S82" i="1"/>
  <c r="Q80" i="1"/>
  <c r="R80" i="1"/>
  <c r="S80" i="1"/>
  <c r="Q77" i="1"/>
  <c r="R77" i="1"/>
  <c r="S77" i="1"/>
  <c r="Q66" i="1"/>
  <c r="R66" i="1"/>
  <c r="R67" i="1" s="1"/>
  <c r="S66" i="1"/>
  <c r="S67" i="1" s="1"/>
  <c r="Q67" i="1"/>
  <c r="F353" i="1" l="1"/>
  <c r="G353" i="1"/>
  <c r="H353" i="1"/>
  <c r="J353" i="1"/>
  <c r="M353" i="1"/>
  <c r="F354" i="1"/>
  <c r="G354" i="1"/>
  <c r="H354" i="1"/>
  <c r="J354" i="1"/>
  <c r="M354" i="1"/>
  <c r="F355" i="1"/>
  <c r="G355" i="1"/>
  <c r="H355" i="1"/>
  <c r="J355" i="1"/>
  <c r="M355" i="1"/>
  <c r="F356" i="1"/>
  <c r="G356" i="1"/>
  <c r="H356" i="1"/>
  <c r="J356" i="1"/>
  <c r="M356" i="1"/>
  <c r="F357" i="1"/>
  <c r="G357" i="1"/>
  <c r="H357" i="1"/>
  <c r="J357" i="1"/>
  <c r="M357" i="1"/>
  <c r="F358" i="1"/>
  <c r="G358" i="1"/>
  <c r="H358" i="1"/>
  <c r="J358" i="1"/>
  <c r="M358" i="1"/>
  <c r="F359" i="1"/>
  <c r="G359" i="1"/>
  <c r="H359" i="1"/>
  <c r="J359" i="1"/>
  <c r="M359" i="1"/>
  <c r="F360" i="1"/>
  <c r="G360" i="1"/>
  <c r="H360" i="1"/>
  <c r="J360" i="1"/>
  <c r="M360" i="1"/>
  <c r="F361" i="1"/>
  <c r="G361" i="1"/>
  <c r="H361" i="1"/>
  <c r="J361" i="1"/>
  <c r="M361" i="1"/>
  <c r="E354" i="1"/>
  <c r="E355" i="1"/>
  <c r="E356" i="1"/>
  <c r="E357" i="1"/>
  <c r="E358" i="1"/>
  <c r="E359" i="1"/>
  <c r="E360" i="1"/>
  <c r="E361" i="1"/>
  <c r="E353" i="1"/>
  <c r="BG509" i="1" l="1"/>
  <c r="BF521" i="1"/>
  <c r="BE521" i="1"/>
  <c r="BA521" i="1"/>
  <c r="AZ521" i="1"/>
  <c r="BD521" i="1"/>
  <c r="BC521" i="1"/>
  <c r="BB521" i="1"/>
  <c r="AY521" i="1"/>
  <c r="AT521" i="1"/>
  <c r="BM520" i="1"/>
  <c r="BL520" i="1"/>
  <c r="BS520" i="1"/>
  <c r="BR520" i="1"/>
  <c r="BQ520" i="1"/>
  <c r="BP520" i="1"/>
  <c r="BO520" i="1"/>
  <c r="BN520" i="1"/>
  <c r="BJ520" i="1"/>
  <c r="BI520" i="1"/>
  <c r="BH520" i="1"/>
  <c r="BG520" i="1"/>
  <c r="AX520" i="1"/>
  <c r="AW520" i="1"/>
  <c r="AV520" i="1"/>
  <c r="AT520" i="1"/>
  <c r="BM519" i="1"/>
  <c r="BL519" i="1"/>
  <c r="BS519" i="1"/>
  <c r="BR519" i="1"/>
  <c r="BQ519" i="1"/>
  <c r="BP519" i="1"/>
  <c r="BO519" i="1"/>
  <c r="BN519" i="1"/>
  <c r="BK519" i="1"/>
  <c r="BJ519" i="1"/>
  <c r="BI519" i="1"/>
  <c r="BH519" i="1"/>
  <c r="BG519" i="1"/>
  <c r="AX519" i="1"/>
  <c r="AW519" i="1"/>
  <c r="AV519" i="1"/>
  <c r="AU519" i="1"/>
  <c r="AT519" i="1"/>
  <c r="BM518" i="1"/>
  <c r="BL518" i="1"/>
  <c r="BS518" i="1"/>
  <c r="BR518" i="1"/>
  <c r="BQ518" i="1"/>
  <c r="BP518" i="1"/>
  <c r="BO518" i="1"/>
  <c r="BN518" i="1"/>
  <c r="BK518" i="1"/>
  <c r="BJ518" i="1"/>
  <c r="BI518" i="1"/>
  <c r="BH518" i="1"/>
  <c r="BF518" i="1"/>
  <c r="BE518" i="1"/>
  <c r="BA518" i="1"/>
  <c r="AZ518" i="1"/>
  <c r="BG518" i="1"/>
  <c r="BD518" i="1"/>
  <c r="BC518" i="1"/>
  <c r="BB518" i="1"/>
  <c r="AY518" i="1"/>
  <c r="AX518" i="1"/>
  <c r="AW518" i="1"/>
  <c r="AV518" i="1"/>
  <c r="AT518" i="1"/>
  <c r="BM517" i="1"/>
  <c r="BL517" i="1"/>
  <c r="BS517" i="1"/>
  <c r="BR517" i="1"/>
  <c r="BQ517" i="1"/>
  <c r="BK517" i="1"/>
  <c r="BJ517" i="1"/>
  <c r="BI517" i="1"/>
  <c r="BH517" i="1"/>
  <c r="BF517" i="1"/>
  <c r="BE517" i="1"/>
  <c r="BA517" i="1"/>
  <c r="AZ517" i="1"/>
  <c r="BG517" i="1"/>
  <c r="BD517" i="1"/>
  <c r="BC517" i="1"/>
  <c r="BB517" i="1"/>
  <c r="AY517" i="1"/>
  <c r="AX517" i="1"/>
  <c r="AW517" i="1"/>
  <c r="AV517" i="1"/>
  <c r="AU517" i="1"/>
  <c r="AT517" i="1"/>
  <c r="BM516" i="1"/>
  <c r="BL516" i="1"/>
  <c r="BS516" i="1"/>
  <c r="BR516" i="1"/>
  <c r="BQ516" i="1"/>
  <c r="BP516" i="1"/>
  <c r="BO516" i="1"/>
  <c r="BN516" i="1"/>
  <c r="BK516" i="1"/>
  <c r="BJ516" i="1"/>
  <c r="BI516" i="1"/>
  <c r="BH516" i="1"/>
  <c r="BF516" i="1"/>
  <c r="BE516" i="1"/>
  <c r="BA516" i="1"/>
  <c r="AZ516" i="1"/>
  <c r="BG516" i="1"/>
  <c r="BD516" i="1"/>
  <c r="BC516" i="1"/>
  <c r="BB516" i="1"/>
  <c r="AY516" i="1"/>
  <c r="AX516" i="1"/>
  <c r="AW516" i="1"/>
  <c r="AV516" i="1"/>
  <c r="AU516" i="1"/>
  <c r="AT516" i="1"/>
  <c r="BM515" i="1"/>
  <c r="BL515" i="1"/>
  <c r="BS515" i="1"/>
  <c r="BR515" i="1"/>
  <c r="BQ515" i="1"/>
  <c r="BP515" i="1"/>
  <c r="BO515" i="1"/>
  <c r="BN515" i="1"/>
  <c r="BK515" i="1"/>
  <c r="BJ515" i="1"/>
  <c r="BI515" i="1"/>
  <c r="BH515" i="1"/>
  <c r="BF515" i="1"/>
  <c r="BE515" i="1"/>
  <c r="BA515" i="1"/>
  <c r="AZ515" i="1"/>
  <c r="BG515" i="1"/>
  <c r="BD515" i="1"/>
  <c r="BC515" i="1"/>
  <c r="BB515" i="1"/>
  <c r="AY515" i="1"/>
  <c r="AX515" i="1"/>
  <c r="AW515" i="1"/>
  <c r="AV515" i="1"/>
  <c r="AU515" i="1"/>
  <c r="AT515" i="1"/>
  <c r="BM514" i="1"/>
  <c r="BL514" i="1"/>
  <c r="BS514" i="1"/>
  <c r="BR514" i="1"/>
  <c r="BQ514" i="1"/>
  <c r="BP514" i="1"/>
  <c r="BO514" i="1"/>
  <c r="BN514" i="1"/>
  <c r="BK514" i="1"/>
  <c r="BJ514" i="1"/>
  <c r="BI514" i="1"/>
  <c r="BH514" i="1"/>
  <c r="BF514" i="1"/>
  <c r="BE514" i="1"/>
  <c r="BA514" i="1"/>
  <c r="AZ514" i="1"/>
  <c r="BG514" i="1"/>
  <c r="BD514" i="1"/>
  <c r="BC514" i="1"/>
  <c r="BB514" i="1"/>
  <c r="AY514" i="1"/>
  <c r="AX514" i="1"/>
  <c r="AW514" i="1"/>
  <c r="AV514" i="1"/>
  <c r="AU514" i="1"/>
  <c r="AT514" i="1"/>
  <c r="BM513" i="1"/>
  <c r="BL513" i="1"/>
  <c r="BS513" i="1"/>
  <c r="BR513" i="1"/>
  <c r="BQ513" i="1"/>
  <c r="BP513" i="1"/>
  <c r="BO513" i="1"/>
  <c r="BN513" i="1"/>
  <c r="BK513" i="1"/>
  <c r="BJ513" i="1"/>
  <c r="BI513" i="1"/>
  <c r="BH513" i="1"/>
  <c r="BG513" i="1"/>
  <c r="AX513" i="1"/>
  <c r="AW513" i="1"/>
  <c r="AV513" i="1"/>
  <c r="AT513" i="1"/>
  <c r="BF512" i="1"/>
  <c r="BE512" i="1"/>
  <c r="BA512" i="1"/>
  <c r="AZ512" i="1"/>
  <c r="BG512" i="1"/>
  <c r="BD512" i="1"/>
  <c r="BC512" i="1"/>
  <c r="BB512" i="1"/>
  <c r="AY512" i="1"/>
  <c r="AT512" i="1"/>
  <c r="BM511" i="1"/>
  <c r="BL511" i="1"/>
  <c r="BS511" i="1"/>
  <c r="BR511" i="1"/>
  <c r="BQ511" i="1"/>
  <c r="BP511" i="1"/>
  <c r="BO511" i="1"/>
  <c r="BN511" i="1"/>
  <c r="BK511" i="1"/>
  <c r="BJ511" i="1"/>
  <c r="BI511" i="1"/>
  <c r="BH511" i="1"/>
  <c r="BF511" i="1"/>
  <c r="BE511" i="1"/>
  <c r="BA511" i="1"/>
  <c r="AZ511" i="1"/>
  <c r="BG511" i="1"/>
  <c r="BD511" i="1"/>
  <c r="BC511" i="1"/>
  <c r="BB511" i="1"/>
  <c r="AY511" i="1"/>
  <c r="AX511" i="1"/>
  <c r="AW511" i="1"/>
  <c r="AV511" i="1"/>
  <c r="AT511" i="1"/>
  <c r="BM510" i="1"/>
  <c r="BL510" i="1"/>
  <c r="BS510" i="1"/>
  <c r="BR510" i="1"/>
  <c r="BQ510" i="1"/>
  <c r="BP510" i="1"/>
  <c r="BO510" i="1"/>
  <c r="BN510" i="1"/>
  <c r="BK510" i="1"/>
  <c r="BJ510" i="1"/>
  <c r="BI510" i="1"/>
  <c r="BH510" i="1"/>
  <c r="BG510" i="1"/>
  <c r="AX510" i="1"/>
  <c r="AW510" i="1"/>
  <c r="AV510" i="1"/>
  <c r="AU510" i="1"/>
  <c r="AT510" i="1"/>
  <c r="BM509" i="1"/>
  <c r="BL509" i="1"/>
  <c r="BS509" i="1"/>
  <c r="BR509" i="1"/>
  <c r="BQ509" i="1"/>
  <c r="BP509" i="1"/>
  <c r="BO509" i="1"/>
  <c r="BN509" i="1"/>
  <c r="BK509" i="1"/>
  <c r="BJ509" i="1"/>
  <c r="BI509" i="1"/>
  <c r="BH509" i="1"/>
  <c r="BF509" i="1"/>
  <c r="BE509" i="1"/>
  <c r="BA509" i="1"/>
  <c r="AZ509" i="1"/>
  <c r="BD509" i="1"/>
  <c r="BC509" i="1"/>
  <c r="BB509" i="1"/>
  <c r="AY509" i="1"/>
  <c r="AX509" i="1"/>
  <c r="AW509" i="1"/>
  <c r="AV509" i="1"/>
  <c r="AU509" i="1"/>
  <c r="BK220" i="1"/>
  <c r="BJ220" i="1"/>
  <c r="BT218" i="1"/>
  <c r="BS218" i="1"/>
  <c r="BR218" i="1"/>
  <c r="BQ218" i="1"/>
  <c r="BP218" i="1"/>
  <c r="BO218" i="1"/>
  <c r="BN218" i="1"/>
  <c r="BM218" i="1"/>
  <c r="BL218" i="1"/>
  <c r="BK218" i="1"/>
  <c r="BJ218" i="1"/>
  <c r="BK216" i="1"/>
  <c r="BJ216" i="1"/>
  <c r="BT215" i="1"/>
  <c r="BS215" i="1"/>
  <c r="BR215" i="1"/>
  <c r="BQ215" i="1"/>
  <c r="BP215" i="1"/>
  <c r="BO215" i="1"/>
  <c r="BN215" i="1"/>
  <c r="BM215" i="1"/>
  <c r="BL215" i="1"/>
  <c r="BK215" i="1"/>
  <c r="BJ215" i="1"/>
  <c r="BK211" i="1"/>
  <c r="BJ211" i="1"/>
  <c r="BK210" i="1"/>
  <c r="BJ210" i="1"/>
  <c r="BT209" i="1"/>
  <c r="BS209" i="1"/>
  <c r="BR209" i="1"/>
  <c r="BQ209" i="1"/>
  <c r="BP209" i="1"/>
  <c r="BO209" i="1"/>
  <c r="BN209" i="1"/>
  <c r="BM209" i="1"/>
  <c r="BL209" i="1"/>
  <c r="BK197" i="1"/>
  <c r="BJ197" i="1"/>
  <c r="BT195" i="1"/>
  <c r="BS195" i="1"/>
  <c r="BR195" i="1"/>
  <c r="BQ195" i="1"/>
  <c r="BP195" i="1"/>
  <c r="BO195" i="1"/>
  <c r="BN195" i="1"/>
  <c r="BM195" i="1"/>
  <c r="BL195" i="1"/>
  <c r="BK195" i="1"/>
  <c r="BJ195" i="1"/>
  <c r="BK193" i="1"/>
  <c r="BJ193" i="1"/>
  <c r="BT192" i="1"/>
  <c r="BS192" i="1"/>
  <c r="BR192" i="1"/>
  <c r="BQ192" i="1"/>
  <c r="BP192" i="1"/>
  <c r="BO192" i="1"/>
  <c r="BN192" i="1"/>
  <c r="BM192" i="1"/>
  <c r="BL192" i="1"/>
  <c r="BK192" i="1"/>
  <c r="BJ192" i="1"/>
  <c r="BK188" i="1"/>
  <c r="BJ188" i="1"/>
  <c r="BK187" i="1"/>
  <c r="BJ187" i="1"/>
  <c r="BT186" i="1"/>
  <c r="BS186" i="1"/>
  <c r="BR186" i="1"/>
  <c r="BQ186" i="1"/>
  <c r="BP186" i="1"/>
  <c r="BO186" i="1"/>
  <c r="BN186" i="1"/>
  <c r="BM186" i="1"/>
  <c r="BL186" i="1"/>
  <c r="BK174" i="1"/>
  <c r="BJ174" i="1"/>
  <c r="BT172" i="1"/>
  <c r="BS172" i="1"/>
  <c r="BR172" i="1"/>
  <c r="BQ172" i="1"/>
  <c r="BP172" i="1"/>
  <c r="BO172" i="1"/>
  <c r="BN172" i="1"/>
  <c r="BM172" i="1"/>
  <c r="BL172" i="1"/>
  <c r="BK172" i="1"/>
  <c r="BJ172" i="1"/>
  <c r="BK170" i="1"/>
  <c r="BJ170" i="1"/>
  <c r="BT169" i="1"/>
  <c r="BS169" i="1"/>
  <c r="BR169" i="1"/>
  <c r="BQ169" i="1"/>
  <c r="BP169" i="1"/>
  <c r="BO169" i="1"/>
  <c r="BN169" i="1"/>
  <c r="BM169" i="1"/>
  <c r="BL169" i="1"/>
  <c r="BK169" i="1"/>
  <c r="BJ169" i="1"/>
  <c r="BK165" i="1"/>
  <c r="BJ165" i="1"/>
  <c r="BK164" i="1"/>
  <c r="BJ164" i="1"/>
  <c r="BT163" i="1"/>
  <c r="BS163" i="1"/>
  <c r="BR163" i="1"/>
  <c r="BQ163" i="1"/>
  <c r="BP163" i="1"/>
  <c r="BO163" i="1"/>
  <c r="BN163" i="1"/>
  <c r="BM163" i="1"/>
  <c r="BL163" i="1"/>
  <c r="BK151" i="1"/>
  <c r="BJ151" i="1"/>
  <c r="BT149" i="1"/>
  <c r="BS149" i="1"/>
  <c r="BR149" i="1"/>
  <c r="BQ149" i="1"/>
  <c r="BP149" i="1"/>
  <c r="BO149" i="1"/>
  <c r="BN149" i="1"/>
  <c r="BM149" i="1"/>
  <c r="BL149" i="1"/>
  <c r="BK149" i="1"/>
  <c r="BJ149" i="1"/>
  <c r="BK147" i="1"/>
  <c r="BJ147" i="1"/>
  <c r="BT146" i="1"/>
  <c r="BS146" i="1"/>
  <c r="BR146" i="1"/>
  <c r="BQ146" i="1"/>
  <c r="BP146" i="1"/>
  <c r="BO146" i="1"/>
  <c r="BN146" i="1"/>
  <c r="BM146" i="1"/>
  <c r="BL146" i="1"/>
  <c r="BK146" i="1"/>
  <c r="BJ146" i="1"/>
  <c r="BK142" i="1"/>
  <c r="BJ142" i="1"/>
  <c r="BK141" i="1"/>
  <c r="BJ141" i="1"/>
  <c r="BT140" i="1"/>
  <c r="BS140" i="1"/>
  <c r="BR140" i="1"/>
  <c r="BQ140" i="1"/>
  <c r="BP140" i="1"/>
  <c r="BO140" i="1"/>
  <c r="BN140" i="1"/>
  <c r="BM140" i="1"/>
  <c r="BL140" i="1"/>
  <c r="AV220" i="1"/>
  <c r="AT220" i="1"/>
  <c r="AV219" i="1"/>
  <c r="AT219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U218" i="1"/>
  <c r="AT218" i="1"/>
  <c r="AY217" i="1"/>
  <c r="AX217" i="1"/>
  <c r="AW217" i="1"/>
  <c r="AT217" i="1"/>
  <c r="AY216" i="1"/>
  <c r="AX216" i="1"/>
  <c r="AW216" i="1"/>
  <c r="AU216" i="1"/>
  <c r="AT216" i="1"/>
  <c r="BI215" i="1"/>
  <c r="BH215" i="1"/>
  <c r="BG215" i="1"/>
  <c r="BF215" i="1"/>
  <c r="BE215" i="1"/>
  <c r="BD215" i="1"/>
  <c r="BC215" i="1"/>
  <c r="BB215" i="1"/>
  <c r="BA215" i="1"/>
  <c r="AZ215" i="1"/>
  <c r="AV215" i="1"/>
  <c r="AU215" i="1"/>
  <c r="AT215" i="1"/>
  <c r="AT214" i="1"/>
  <c r="AT213" i="1"/>
  <c r="AT212" i="1"/>
  <c r="BI211" i="1"/>
  <c r="BH211" i="1"/>
  <c r="BG211" i="1"/>
  <c r="BF211" i="1"/>
  <c r="BE211" i="1"/>
  <c r="BD211" i="1"/>
  <c r="BC211" i="1"/>
  <c r="BB211" i="1"/>
  <c r="BA211" i="1"/>
  <c r="AZ211" i="1"/>
  <c r="AV211" i="1"/>
  <c r="AT211" i="1"/>
  <c r="BI210" i="1"/>
  <c r="BH210" i="1"/>
  <c r="BG210" i="1"/>
  <c r="BF210" i="1"/>
  <c r="BE210" i="1"/>
  <c r="BD210" i="1"/>
  <c r="BC210" i="1"/>
  <c r="BB210" i="1"/>
  <c r="BA210" i="1"/>
  <c r="AZ210" i="1"/>
  <c r="AV210" i="1"/>
  <c r="AT210" i="1"/>
  <c r="AY209" i="1"/>
  <c r="AX209" i="1"/>
  <c r="AW209" i="1"/>
  <c r="AU209" i="1"/>
  <c r="AT209" i="1"/>
  <c r="AU208" i="1"/>
  <c r="AV197" i="1"/>
  <c r="AT197" i="1"/>
  <c r="AV196" i="1"/>
  <c r="AT196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U195" i="1"/>
  <c r="AT195" i="1"/>
  <c r="AY194" i="1"/>
  <c r="AX194" i="1"/>
  <c r="AW194" i="1"/>
  <c r="AT194" i="1"/>
  <c r="AY193" i="1"/>
  <c r="AX193" i="1"/>
  <c r="AW193" i="1"/>
  <c r="AU193" i="1"/>
  <c r="AT193" i="1"/>
  <c r="BI192" i="1"/>
  <c r="BH192" i="1"/>
  <c r="BG192" i="1"/>
  <c r="BF192" i="1"/>
  <c r="BE192" i="1"/>
  <c r="BD192" i="1"/>
  <c r="BC192" i="1"/>
  <c r="BB192" i="1"/>
  <c r="BA192" i="1"/>
  <c r="AZ192" i="1"/>
  <c r="AV192" i="1"/>
  <c r="AU192" i="1"/>
  <c r="AT192" i="1"/>
  <c r="AT191" i="1"/>
  <c r="AT190" i="1"/>
  <c r="AT189" i="1"/>
  <c r="BI188" i="1"/>
  <c r="BH188" i="1"/>
  <c r="BG188" i="1"/>
  <c r="BF188" i="1"/>
  <c r="BE188" i="1"/>
  <c r="BD188" i="1"/>
  <c r="BC188" i="1"/>
  <c r="BB188" i="1"/>
  <c r="BA188" i="1"/>
  <c r="AZ188" i="1"/>
  <c r="AV188" i="1"/>
  <c r="AT188" i="1"/>
  <c r="BI187" i="1"/>
  <c r="BH187" i="1"/>
  <c r="BG187" i="1"/>
  <c r="BF187" i="1"/>
  <c r="BE187" i="1"/>
  <c r="BD187" i="1"/>
  <c r="BC187" i="1"/>
  <c r="BB187" i="1"/>
  <c r="BA187" i="1"/>
  <c r="AZ187" i="1"/>
  <c r="AV187" i="1"/>
  <c r="AT187" i="1"/>
  <c r="AY186" i="1"/>
  <c r="AX186" i="1"/>
  <c r="AW186" i="1"/>
  <c r="AU186" i="1"/>
  <c r="AT186" i="1"/>
  <c r="AU185" i="1"/>
  <c r="AV174" i="1"/>
  <c r="AT174" i="1"/>
  <c r="AV173" i="1"/>
  <c r="AT173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U172" i="1"/>
  <c r="AT172" i="1"/>
  <c r="AY171" i="1"/>
  <c r="AX171" i="1"/>
  <c r="AW171" i="1"/>
  <c r="AT171" i="1"/>
  <c r="AY170" i="1"/>
  <c r="AX170" i="1"/>
  <c r="AW170" i="1"/>
  <c r="AU170" i="1"/>
  <c r="AT170" i="1"/>
  <c r="BI169" i="1"/>
  <c r="BH169" i="1"/>
  <c r="BG169" i="1"/>
  <c r="BF169" i="1"/>
  <c r="BE169" i="1"/>
  <c r="BD169" i="1"/>
  <c r="BC169" i="1"/>
  <c r="BB169" i="1"/>
  <c r="BA169" i="1"/>
  <c r="AZ169" i="1"/>
  <c r="AV169" i="1"/>
  <c r="AU169" i="1"/>
  <c r="AT169" i="1"/>
  <c r="AT168" i="1"/>
  <c r="AT167" i="1"/>
  <c r="AT166" i="1"/>
  <c r="BI165" i="1"/>
  <c r="BH165" i="1"/>
  <c r="BG165" i="1"/>
  <c r="BF165" i="1"/>
  <c r="BE165" i="1"/>
  <c r="BD165" i="1"/>
  <c r="BC165" i="1"/>
  <c r="BB165" i="1"/>
  <c r="BA165" i="1"/>
  <c r="AZ165" i="1"/>
  <c r="AV165" i="1"/>
  <c r="AT165" i="1"/>
  <c r="BI164" i="1"/>
  <c r="BH164" i="1"/>
  <c r="BG164" i="1"/>
  <c r="BF164" i="1"/>
  <c r="BE164" i="1"/>
  <c r="BD164" i="1"/>
  <c r="BC164" i="1"/>
  <c r="BB164" i="1"/>
  <c r="BA164" i="1"/>
  <c r="AZ164" i="1"/>
  <c r="AV164" i="1"/>
  <c r="AT164" i="1"/>
  <c r="AY163" i="1"/>
  <c r="AX163" i="1"/>
  <c r="AW163" i="1"/>
  <c r="AU163" i="1"/>
  <c r="AT163" i="1"/>
  <c r="AU162" i="1"/>
  <c r="AV151" i="1"/>
  <c r="AT151" i="1"/>
  <c r="AV150" i="1"/>
  <c r="AT150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U149" i="1"/>
  <c r="AT149" i="1"/>
  <c r="AY148" i="1"/>
  <c r="AX148" i="1"/>
  <c r="AW148" i="1"/>
  <c r="AT148" i="1"/>
  <c r="AY147" i="1"/>
  <c r="AX147" i="1"/>
  <c r="AW147" i="1"/>
  <c r="AU147" i="1"/>
  <c r="AT147" i="1"/>
  <c r="BI146" i="1"/>
  <c r="BH146" i="1"/>
  <c r="BG146" i="1"/>
  <c r="BF146" i="1"/>
  <c r="BE146" i="1"/>
  <c r="BD146" i="1"/>
  <c r="BC146" i="1"/>
  <c r="BB146" i="1"/>
  <c r="BA146" i="1"/>
  <c r="AZ146" i="1"/>
  <c r="AV146" i="1"/>
  <c r="AU146" i="1"/>
  <c r="AT146" i="1"/>
  <c r="AT145" i="1"/>
  <c r="AT144" i="1"/>
  <c r="AT143" i="1"/>
  <c r="BI142" i="1"/>
  <c r="BH142" i="1"/>
  <c r="BG142" i="1"/>
  <c r="BF142" i="1"/>
  <c r="BE142" i="1"/>
  <c r="BD142" i="1"/>
  <c r="BC142" i="1"/>
  <c r="BB142" i="1"/>
  <c r="BA142" i="1"/>
  <c r="AZ142" i="1"/>
  <c r="AV142" i="1"/>
  <c r="AT142" i="1"/>
  <c r="BI141" i="1"/>
  <c r="BH141" i="1"/>
  <c r="BG141" i="1"/>
  <c r="BF141" i="1"/>
  <c r="BE141" i="1"/>
  <c r="BD141" i="1"/>
  <c r="BC141" i="1"/>
  <c r="BB141" i="1"/>
  <c r="BA141" i="1"/>
  <c r="AZ141" i="1"/>
  <c r="AV141" i="1"/>
  <c r="AT141" i="1"/>
  <c r="AY140" i="1"/>
  <c r="AX140" i="1"/>
  <c r="AW140" i="1"/>
  <c r="AU140" i="1"/>
  <c r="AT140" i="1"/>
  <c r="AU139" i="1"/>
  <c r="I1130" i="1"/>
  <c r="K1130" i="1"/>
  <c r="M1130" i="1"/>
  <c r="E1130" i="1"/>
  <c r="F1130" i="1"/>
  <c r="G1130" i="1"/>
  <c r="F282" i="1"/>
  <c r="R117" i="1"/>
  <c r="F281" i="1"/>
  <c r="BW116" i="1"/>
  <c r="BW117" i="1"/>
  <c r="BW123" i="1"/>
  <c r="BW126" i="1"/>
  <c r="BQ116" i="1"/>
  <c r="BT116" i="1"/>
  <c r="BQ117" i="1"/>
  <c r="BT117" i="1"/>
  <c r="BQ123" i="1"/>
  <c r="BT123" i="1"/>
  <c r="BQ126" i="1"/>
  <c r="BT126" i="1"/>
  <c r="BS116" i="1"/>
  <c r="BV116" i="1"/>
  <c r="BS117" i="1"/>
  <c r="BV117" i="1"/>
  <c r="BS123" i="1"/>
  <c r="BV123" i="1"/>
  <c r="BS126" i="1"/>
  <c r="BV126" i="1"/>
  <c r="BR116" i="1"/>
  <c r="BU116" i="1"/>
  <c r="BP116" i="1"/>
  <c r="BR117" i="1"/>
  <c r="BU117" i="1"/>
  <c r="BP117" i="1"/>
  <c r="BR123" i="1"/>
  <c r="BU123" i="1"/>
  <c r="BP123" i="1"/>
  <c r="BR126" i="1"/>
  <c r="BU126" i="1"/>
  <c r="BP126" i="1"/>
  <c r="BL116" i="1"/>
  <c r="BM116" i="1"/>
  <c r="BN116" i="1"/>
  <c r="BO116" i="1"/>
  <c r="BL117" i="1"/>
  <c r="BO117" i="1"/>
  <c r="BM118" i="1"/>
  <c r="BN118" i="1"/>
  <c r="BM119" i="1"/>
  <c r="BN119" i="1"/>
  <c r="BL123" i="1"/>
  <c r="BM123" i="1"/>
  <c r="BN123" i="1"/>
  <c r="BO123" i="1"/>
  <c r="BM124" i="1"/>
  <c r="BN124" i="1"/>
  <c r="BL126" i="1"/>
  <c r="BM126" i="1"/>
  <c r="BN126" i="1"/>
  <c r="BO126" i="1"/>
  <c r="BM128" i="1"/>
  <c r="BN128" i="1"/>
  <c r="AU116" i="1"/>
  <c r="AV116" i="1"/>
  <c r="AW116" i="1"/>
  <c r="AX116" i="1"/>
  <c r="AY116" i="1"/>
  <c r="AZ116" i="1"/>
  <c r="BE116" i="1"/>
  <c r="BB116" i="1"/>
  <c r="BG116" i="1"/>
  <c r="BD116" i="1"/>
  <c r="BA116" i="1"/>
  <c r="BF116" i="1"/>
  <c r="BC116" i="1"/>
  <c r="BH116" i="1"/>
  <c r="BI116" i="1"/>
  <c r="BJ116" i="1"/>
  <c r="BK116" i="1"/>
  <c r="AU117" i="1"/>
  <c r="AW117" i="1"/>
  <c r="AX117" i="1"/>
  <c r="AY117" i="1"/>
  <c r="BI117" i="1"/>
  <c r="BJ117" i="1"/>
  <c r="BK117" i="1"/>
  <c r="AV118" i="1"/>
  <c r="AZ118" i="1"/>
  <c r="BE118" i="1"/>
  <c r="BB118" i="1"/>
  <c r="BG118" i="1"/>
  <c r="BD118" i="1"/>
  <c r="BA118" i="1"/>
  <c r="BF118" i="1"/>
  <c r="BC118" i="1"/>
  <c r="BH118" i="1"/>
  <c r="BI118" i="1"/>
  <c r="AV119" i="1"/>
  <c r="AZ119" i="1"/>
  <c r="BE119" i="1"/>
  <c r="BB119" i="1"/>
  <c r="BG119" i="1"/>
  <c r="BD119" i="1"/>
  <c r="BA119" i="1"/>
  <c r="BF119" i="1"/>
  <c r="BC119" i="1"/>
  <c r="BH119" i="1"/>
  <c r="BI119" i="1"/>
  <c r="AU123" i="1"/>
  <c r="AV123" i="1"/>
  <c r="AZ123" i="1"/>
  <c r="BE123" i="1"/>
  <c r="BB123" i="1"/>
  <c r="BG123" i="1"/>
  <c r="BD123" i="1"/>
  <c r="BA123" i="1"/>
  <c r="BF123" i="1"/>
  <c r="BC123" i="1"/>
  <c r="BH123" i="1"/>
  <c r="BI123" i="1"/>
  <c r="BJ123" i="1"/>
  <c r="BK123" i="1"/>
  <c r="AU124" i="1"/>
  <c r="AW124" i="1"/>
  <c r="AX124" i="1"/>
  <c r="AY124" i="1"/>
  <c r="AW125" i="1"/>
  <c r="AX125" i="1"/>
  <c r="AY125" i="1"/>
  <c r="AU126" i="1"/>
  <c r="AW126" i="1"/>
  <c r="AX126" i="1"/>
  <c r="AY126" i="1"/>
  <c r="AZ126" i="1"/>
  <c r="BE126" i="1"/>
  <c r="BB126" i="1"/>
  <c r="BG126" i="1"/>
  <c r="BD126" i="1"/>
  <c r="BA126" i="1"/>
  <c r="BF126" i="1"/>
  <c r="BC126" i="1"/>
  <c r="BH126" i="1"/>
  <c r="BI126" i="1"/>
  <c r="BJ126" i="1"/>
  <c r="BK126" i="1"/>
  <c r="AV127" i="1"/>
  <c r="AV128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M208" i="1" l="1"/>
  <c r="BD208" i="1" s="1"/>
  <c r="U208" i="1"/>
  <c r="BL208" i="1" s="1"/>
  <c r="AC185" i="1"/>
  <c r="BT185" i="1" s="1"/>
  <c r="U162" i="1"/>
  <c r="BL162" i="1" s="1"/>
  <c r="AC162" i="1"/>
  <c r="BT162" i="1" s="1"/>
  <c r="T139" i="1"/>
  <c r="BK139" i="1" s="1"/>
  <c r="U139" i="1"/>
  <c r="BL139" i="1" s="1"/>
  <c r="V139" i="1"/>
  <c r="BO139" i="1" s="1"/>
  <c r="W139" i="1"/>
  <c r="BR139" i="1" s="1"/>
  <c r="X139" i="1"/>
  <c r="BM139" i="1" s="1"/>
  <c r="Y139" i="1"/>
  <c r="BP139" i="1" s="1"/>
  <c r="Z139" i="1"/>
  <c r="BS139" i="1" s="1"/>
  <c r="AA139" i="1"/>
  <c r="BN139" i="1" s="1"/>
  <c r="AB139" i="1"/>
  <c r="BQ139" i="1" s="1"/>
  <c r="AC139" i="1"/>
  <c r="BT139" i="1" s="1"/>
  <c r="S139" i="1"/>
  <c r="BJ139" i="1" s="1"/>
  <c r="F139" i="1"/>
  <c r="AW139" i="1" s="1"/>
  <c r="G139" i="1"/>
  <c r="AX139" i="1" s="1"/>
  <c r="H139" i="1"/>
  <c r="AY139" i="1" s="1"/>
  <c r="I139" i="1"/>
  <c r="AZ139" i="1" s="1"/>
  <c r="J139" i="1"/>
  <c r="BE139" i="1" s="1"/>
  <c r="K139" i="1"/>
  <c r="L139" i="1"/>
  <c r="BG139" i="1" s="1"/>
  <c r="M139" i="1"/>
  <c r="BD139" i="1" s="1"/>
  <c r="N139" i="1"/>
  <c r="BA139" i="1" s="1"/>
  <c r="O139" i="1"/>
  <c r="BF139" i="1" s="1"/>
  <c r="P139" i="1"/>
  <c r="BC139" i="1" s="1"/>
  <c r="Q139" i="1"/>
  <c r="BH139" i="1" s="1"/>
  <c r="R139" i="1"/>
  <c r="BI139" i="1" s="1"/>
  <c r="E139" i="1"/>
  <c r="AV139" i="1" s="1"/>
  <c r="M150" i="1"/>
  <c r="BD150" i="1" s="1"/>
  <c r="M147" i="1"/>
  <c r="M145" i="1"/>
  <c r="BD145" i="1" s="1"/>
  <c r="M144" i="1"/>
  <c r="BD144" i="1" s="1"/>
  <c r="M143" i="1"/>
  <c r="BD143" i="1" s="1"/>
  <c r="M173" i="1"/>
  <c r="BD173" i="1" s="1"/>
  <c r="M170" i="1"/>
  <c r="M168" i="1"/>
  <c r="BD168" i="1" s="1"/>
  <c r="M167" i="1"/>
  <c r="BD167" i="1" s="1"/>
  <c r="M166" i="1"/>
  <c r="BD166" i="1" s="1"/>
  <c r="M196" i="1"/>
  <c r="BD196" i="1" s="1"/>
  <c r="M193" i="1"/>
  <c r="M191" i="1"/>
  <c r="BD191" i="1" s="1"/>
  <c r="M190" i="1"/>
  <c r="BD190" i="1" s="1"/>
  <c r="M189" i="1"/>
  <c r="BD189" i="1" s="1"/>
  <c r="M219" i="1"/>
  <c r="BD219" i="1" s="1"/>
  <c r="M216" i="1"/>
  <c r="M214" i="1"/>
  <c r="BD214" i="1" s="1"/>
  <c r="M213" i="1"/>
  <c r="BD213" i="1" s="1"/>
  <c r="M212" i="1"/>
  <c r="BD212" i="1" s="1"/>
  <c r="AB208" i="1" l="1"/>
  <c r="BQ208" i="1" s="1"/>
  <c r="R208" i="1"/>
  <c r="BI208" i="1" s="1"/>
  <c r="R185" i="1"/>
  <c r="BI185" i="1" s="1"/>
  <c r="M162" i="1"/>
  <c r="BD162" i="1" s="1"/>
  <c r="L185" i="1"/>
  <c r="BG185" i="1" s="1"/>
  <c r="T185" i="1"/>
  <c r="BK185" i="1" s="1"/>
  <c r="L162" i="1"/>
  <c r="BG162" i="1" s="1"/>
  <c r="AC208" i="1"/>
  <c r="BT208" i="1" s="1"/>
  <c r="AB185" i="1"/>
  <c r="BQ185" i="1" s="1"/>
  <c r="AB162" i="1"/>
  <c r="BQ162" i="1" s="1"/>
  <c r="U185" i="1"/>
  <c r="BL185" i="1" s="1"/>
  <c r="T208" i="1"/>
  <c r="BK208" i="1" s="1"/>
  <c r="T162" i="1"/>
  <c r="BK162" i="1" s="1"/>
  <c r="R162" i="1"/>
  <c r="BI162" i="1" s="1"/>
  <c r="M185" i="1"/>
  <c r="BD185" i="1" s="1"/>
  <c r="L208" i="1"/>
  <c r="BG208" i="1" s="1"/>
  <c r="AA162" i="1"/>
  <c r="BN162" i="1" s="1"/>
  <c r="S162" i="1"/>
  <c r="BJ162" i="1" s="1"/>
  <c r="J162" i="1"/>
  <c r="BE162" i="1" s="1"/>
  <c r="AA185" i="1"/>
  <c r="BN185" i="1" s="1"/>
  <c r="S185" i="1"/>
  <c r="BJ185" i="1" s="1"/>
  <c r="J185" i="1"/>
  <c r="BE185" i="1" s="1"/>
  <c r="AA208" i="1"/>
  <c r="BN208" i="1" s="1"/>
  <c r="S208" i="1"/>
  <c r="BJ208" i="1" s="1"/>
  <c r="J208" i="1"/>
  <c r="BE208" i="1" s="1"/>
  <c r="Z162" i="1"/>
  <c r="BS162" i="1" s="1"/>
  <c r="Q162" i="1"/>
  <c r="BH162" i="1" s="1"/>
  <c r="Q185" i="1"/>
  <c r="BH185" i="1" s="1"/>
  <c r="Y208" i="1"/>
  <c r="BP208" i="1" s="1"/>
  <c r="X162" i="1"/>
  <c r="BM162" i="1" s="1"/>
  <c r="P162" i="1"/>
  <c r="BC162" i="1" s="1"/>
  <c r="G162" i="1"/>
  <c r="AX162" i="1" s="1"/>
  <c r="X185" i="1"/>
  <c r="BM185" i="1" s="1"/>
  <c r="P185" i="1"/>
  <c r="BC185" i="1" s="1"/>
  <c r="G185" i="1"/>
  <c r="AX185" i="1" s="1"/>
  <c r="X208" i="1"/>
  <c r="BM208" i="1" s="1"/>
  <c r="P208" i="1"/>
  <c r="BC208" i="1" s="1"/>
  <c r="G208" i="1"/>
  <c r="AX208" i="1" s="1"/>
  <c r="I162" i="1"/>
  <c r="AZ162" i="1" s="1"/>
  <c r="Z185" i="1"/>
  <c r="BS185" i="1" s="1"/>
  <c r="I185" i="1"/>
  <c r="AZ185" i="1" s="1"/>
  <c r="I208" i="1"/>
  <c r="AZ208" i="1" s="1"/>
  <c r="Y162" i="1"/>
  <c r="BP162" i="1" s="1"/>
  <c r="Y185" i="1"/>
  <c r="BP185" i="1" s="1"/>
  <c r="Q208" i="1"/>
  <c r="BH208" i="1" s="1"/>
  <c r="K208" i="1"/>
  <c r="BB208" i="1" s="1"/>
  <c r="BB139" i="1"/>
  <c r="W162" i="1"/>
  <c r="BR162" i="1" s="1"/>
  <c r="O162" i="1"/>
  <c r="BF162" i="1" s="1"/>
  <c r="F162" i="1"/>
  <c r="AW162" i="1" s="1"/>
  <c r="W185" i="1"/>
  <c r="BR185" i="1" s="1"/>
  <c r="O185" i="1"/>
  <c r="BF185" i="1" s="1"/>
  <c r="F185" i="1"/>
  <c r="AW185" i="1" s="1"/>
  <c r="W208" i="1"/>
  <c r="BR208" i="1" s="1"/>
  <c r="O208" i="1"/>
  <c r="BF208" i="1" s="1"/>
  <c r="F208" i="1"/>
  <c r="AW208" i="1" s="1"/>
  <c r="Z208" i="1"/>
  <c r="BS208" i="1" s="1"/>
  <c r="H162" i="1"/>
  <c r="AY162" i="1" s="1"/>
  <c r="H185" i="1"/>
  <c r="AY185" i="1" s="1"/>
  <c r="H208" i="1"/>
  <c r="AY208" i="1" s="1"/>
  <c r="E162" i="1"/>
  <c r="AV162" i="1" s="1"/>
  <c r="V162" i="1"/>
  <c r="BO162" i="1" s="1"/>
  <c r="N162" i="1"/>
  <c r="BA162" i="1" s="1"/>
  <c r="E185" i="1"/>
  <c r="AV185" i="1" s="1"/>
  <c r="V185" i="1"/>
  <c r="BO185" i="1" s="1"/>
  <c r="N185" i="1"/>
  <c r="BA185" i="1" s="1"/>
  <c r="E208" i="1"/>
  <c r="AV208" i="1" s="1"/>
  <c r="V208" i="1"/>
  <c r="BO208" i="1" s="1"/>
  <c r="N208" i="1"/>
  <c r="BA208" i="1" s="1"/>
  <c r="M217" i="1"/>
  <c r="BD217" i="1" s="1"/>
  <c r="BD216" i="1"/>
  <c r="M194" i="1"/>
  <c r="BD194" i="1" s="1"/>
  <c r="BD193" i="1"/>
  <c r="M171" i="1"/>
  <c r="BD171" i="1" s="1"/>
  <c r="BD170" i="1"/>
  <c r="M148" i="1"/>
  <c r="BD148" i="1" s="1"/>
  <c r="BD147" i="1"/>
  <c r="K162" i="1"/>
  <c r="BB162" i="1" s="1"/>
  <c r="K185" i="1"/>
  <c r="BB185" i="1" s="1"/>
  <c r="E362" i="1"/>
  <c r="D362" i="1"/>
  <c r="G424" i="1" l="1"/>
  <c r="I424" i="1"/>
  <c r="E424" i="1"/>
  <c r="F424" i="1" s="1"/>
  <c r="I469" i="1"/>
  <c r="K469" i="1"/>
  <c r="L469" i="1" s="1"/>
  <c r="H306" i="1"/>
  <c r="G306" i="1"/>
  <c r="H424" i="1" l="1"/>
  <c r="D512" i="1"/>
  <c r="AU512" i="1" s="1"/>
  <c r="D511" i="1"/>
  <c r="AU511" i="1" s="1"/>
  <c r="D518" i="1" l="1"/>
  <c r="AU518" i="1" s="1"/>
  <c r="D520" i="1"/>
  <c r="AU520" i="1" s="1"/>
  <c r="D513" i="1"/>
  <c r="AU513" i="1" s="1"/>
  <c r="AB512" i="1"/>
  <c r="BS512" i="1" s="1"/>
  <c r="AA517" i="1"/>
  <c r="BP517" i="1" s="1"/>
  <c r="AA512" i="1"/>
  <c r="BP512" i="1" s="1"/>
  <c r="Z512" i="1"/>
  <c r="BM512" i="1" s="1"/>
  <c r="Y512" i="1"/>
  <c r="BR512" i="1" s="1"/>
  <c r="X512" i="1"/>
  <c r="BO512" i="1" s="1"/>
  <c r="X517" i="1"/>
  <c r="BO517" i="1" s="1"/>
  <c r="W512" i="1"/>
  <c r="BL512" i="1" s="1"/>
  <c r="V512" i="1"/>
  <c r="BQ512" i="1" s="1"/>
  <c r="U517" i="1"/>
  <c r="BN517" i="1" s="1"/>
  <c r="U512" i="1"/>
  <c r="BN512" i="1" s="1"/>
  <c r="T520" i="1"/>
  <c r="BK520" i="1" s="1"/>
  <c r="T512" i="1"/>
  <c r="BK512" i="1" s="1"/>
  <c r="S512" i="1" l="1"/>
  <c r="BJ512" i="1" s="1"/>
  <c r="R512" i="1"/>
  <c r="BI512" i="1" s="1"/>
  <c r="Q512" i="1"/>
  <c r="BH512" i="1" s="1"/>
  <c r="M2474" i="1"/>
  <c r="M2475" i="1"/>
  <c r="M2476" i="1"/>
  <c r="M2477" i="1"/>
  <c r="M2478" i="1"/>
  <c r="M2479" i="1"/>
  <c r="M2480" i="1"/>
  <c r="M2481" i="1"/>
  <c r="M2482" i="1"/>
  <c r="M2483" i="1"/>
  <c r="N2483" i="1" s="1"/>
  <c r="M2484" i="1"/>
  <c r="N2484" i="1" s="1"/>
  <c r="M2485" i="1"/>
  <c r="N2485" i="1" s="1"/>
  <c r="M2486" i="1"/>
  <c r="N2486" i="1" s="1"/>
  <c r="M2487" i="1"/>
  <c r="M2473" i="1"/>
  <c r="H513" i="1" s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73" i="1"/>
  <c r="N2487" i="1"/>
  <c r="I513" i="1" l="1"/>
  <c r="AY513" i="1"/>
  <c r="H519" i="1"/>
  <c r="L520" i="1"/>
  <c r="I519" i="1"/>
  <c r="I510" i="1"/>
  <c r="N510" i="1"/>
  <c r="BC510" i="1" s="1"/>
  <c r="I520" i="1"/>
  <c r="BB520" i="1" s="1"/>
  <c r="H510" i="1"/>
  <c r="AY510" i="1" s="1"/>
  <c r="H520" i="1"/>
  <c r="AY520" i="1" s="1"/>
  <c r="K520" i="1"/>
  <c r="BD520" i="1" s="1"/>
  <c r="M520" i="1"/>
  <c r="AZ520" i="1" s="1"/>
  <c r="G512" i="1"/>
  <c r="AX512" i="1" s="1"/>
  <c r="F512" i="1"/>
  <c r="AW512" i="1" s="1"/>
  <c r="E512" i="1"/>
  <c r="AV512" i="1" s="1"/>
  <c r="L510" i="1" l="1"/>
  <c r="BF510" i="1" s="1"/>
  <c r="BB510" i="1"/>
  <c r="O519" i="1"/>
  <c r="BE519" i="1" s="1"/>
  <c r="BB519" i="1"/>
  <c r="M519" i="1"/>
  <c r="AZ519" i="1" s="1"/>
  <c r="AY519" i="1"/>
  <c r="O520" i="1"/>
  <c r="BE520" i="1" s="1"/>
  <c r="BF520" i="1"/>
  <c r="J513" i="1"/>
  <c r="BB513" i="1"/>
  <c r="O510" i="1"/>
  <c r="BE510" i="1" s="1"/>
  <c r="K510" i="1"/>
  <c r="BD510" i="1" s="1"/>
  <c r="K519" i="1"/>
  <c r="BD519" i="1" s="1"/>
  <c r="L519" i="1"/>
  <c r="J519" i="1"/>
  <c r="BA519" i="1" s="1"/>
  <c r="N519" i="1"/>
  <c r="BC519" i="1" s="1"/>
  <c r="M510" i="1"/>
  <c r="I523" i="1"/>
  <c r="J510" i="1"/>
  <c r="BA510" i="1" s="1"/>
  <c r="J520" i="1"/>
  <c r="BA520" i="1" s="1"/>
  <c r="N520" i="1"/>
  <c r="BC520" i="1" s="1"/>
  <c r="J523" i="1"/>
  <c r="P521" i="1"/>
  <c r="BG521" i="1" s="1"/>
  <c r="R521" i="1"/>
  <c r="BI521" i="1" s="1"/>
  <c r="G521" i="1"/>
  <c r="AX521" i="1" s="1"/>
  <c r="F521" i="1"/>
  <c r="AW521" i="1" s="1"/>
  <c r="E521" i="1"/>
  <c r="AV521" i="1" s="1"/>
  <c r="D521" i="1"/>
  <c r="AU521" i="1" s="1"/>
  <c r="F497" i="1"/>
  <c r="G497" i="1"/>
  <c r="H497" i="1"/>
  <c r="I497" i="1"/>
  <c r="K497" i="1"/>
  <c r="L497" i="1"/>
  <c r="F498" i="1"/>
  <c r="G498" i="1"/>
  <c r="H498" i="1"/>
  <c r="I498" i="1"/>
  <c r="K498" i="1"/>
  <c r="L498" i="1"/>
  <c r="F499" i="1"/>
  <c r="G499" i="1"/>
  <c r="H499" i="1"/>
  <c r="I499" i="1"/>
  <c r="K499" i="1"/>
  <c r="L499" i="1"/>
  <c r="F500" i="1"/>
  <c r="G500" i="1"/>
  <c r="H500" i="1"/>
  <c r="I500" i="1"/>
  <c r="K500" i="1"/>
  <c r="L500" i="1"/>
  <c r="F501" i="1"/>
  <c r="G501" i="1"/>
  <c r="H501" i="1"/>
  <c r="I501" i="1"/>
  <c r="K501" i="1"/>
  <c r="L501" i="1"/>
  <c r="F502" i="1"/>
  <c r="G502" i="1"/>
  <c r="H502" i="1"/>
  <c r="I502" i="1"/>
  <c r="K502" i="1"/>
  <c r="L502" i="1"/>
  <c r="F483" i="1"/>
  <c r="G483" i="1"/>
  <c r="H483" i="1"/>
  <c r="I483" i="1"/>
  <c r="J483" i="1"/>
  <c r="G484" i="1"/>
  <c r="H484" i="1"/>
  <c r="I484" i="1"/>
  <c r="J484" i="1"/>
  <c r="K484" i="1"/>
  <c r="L484" i="1"/>
  <c r="M484" i="1"/>
  <c r="F485" i="1"/>
  <c r="G485" i="1"/>
  <c r="H485" i="1"/>
  <c r="I485" i="1"/>
  <c r="J485" i="1"/>
  <c r="K485" i="1"/>
  <c r="L485" i="1"/>
  <c r="M485" i="1"/>
  <c r="F486" i="1"/>
  <c r="G486" i="1"/>
  <c r="H486" i="1"/>
  <c r="I486" i="1"/>
  <c r="J486" i="1"/>
  <c r="K486" i="1"/>
  <c r="L486" i="1"/>
  <c r="M486" i="1"/>
  <c r="F487" i="1"/>
  <c r="G487" i="1"/>
  <c r="H487" i="1"/>
  <c r="I487" i="1"/>
  <c r="J487" i="1"/>
  <c r="K487" i="1"/>
  <c r="L487" i="1"/>
  <c r="M487" i="1"/>
  <c r="F488" i="1"/>
  <c r="G488" i="1"/>
  <c r="H488" i="1"/>
  <c r="I488" i="1"/>
  <c r="J488" i="1"/>
  <c r="K488" i="1"/>
  <c r="L488" i="1"/>
  <c r="M488" i="1"/>
  <c r="F489" i="1"/>
  <c r="G489" i="1"/>
  <c r="H489" i="1"/>
  <c r="I489" i="1"/>
  <c r="J489" i="1"/>
  <c r="K489" i="1"/>
  <c r="L489" i="1"/>
  <c r="M489" i="1"/>
  <c r="F490" i="1"/>
  <c r="G490" i="1"/>
  <c r="H490" i="1"/>
  <c r="I490" i="1"/>
  <c r="J490" i="1"/>
  <c r="K490" i="1"/>
  <c r="L490" i="1"/>
  <c r="M490" i="1"/>
  <c r="F491" i="1"/>
  <c r="G491" i="1"/>
  <c r="H491" i="1"/>
  <c r="I491" i="1"/>
  <c r="K491" i="1"/>
  <c r="L491" i="1"/>
  <c r="F492" i="1"/>
  <c r="G492" i="1"/>
  <c r="H492" i="1"/>
  <c r="I492" i="1"/>
  <c r="K492" i="1"/>
  <c r="L492" i="1"/>
  <c r="F493" i="1"/>
  <c r="G493" i="1"/>
  <c r="H493" i="1"/>
  <c r="I493" i="1"/>
  <c r="K493" i="1"/>
  <c r="L493" i="1"/>
  <c r="C484" i="1"/>
  <c r="C485" i="1"/>
  <c r="C486" i="1"/>
  <c r="C487" i="1"/>
  <c r="C488" i="1"/>
  <c r="C489" i="1"/>
  <c r="C490" i="1"/>
  <c r="C491" i="1"/>
  <c r="C492" i="1"/>
  <c r="C493" i="1"/>
  <c r="C497" i="1"/>
  <c r="C498" i="1"/>
  <c r="C499" i="1"/>
  <c r="C500" i="1"/>
  <c r="C501" i="1"/>
  <c r="C502" i="1"/>
  <c r="C483" i="1"/>
  <c r="BF519" i="1" l="1"/>
  <c r="AZ510" i="1"/>
  <c r="K513" i="1"/>
  <c r="L523" i="1" s="1"/>
  <c r="BA513" i="1"/>
  <c r="K523" i="1"/>
  <c r="M492" i="1"/>
  <c r="M495" i="1" s="1"/>
  <c r="M491" i="1"/>
  <c r="M494" i="1" s="1"/>
  <c r="J493" i="1"/>
  <c r="J496" i="1" s="1"/>
  <c r="J492" i="1"/>
  <c r="J495" i="1" s="1"/>
  <c r="J491" i="1"/>
  <c r="J494" i="1" s="1"/>
  <c r="M493" i="1"/>
  <c r="M496" i="1" s="1"/>
  <c r="S521" i="1"/>
  <c r="BJ521" i="1" s="1"/>
  <c r="AA521" i="1"/>
  <c r="BP521" i="1" s="1"/>
  <c r="Y521" i="1"/>
  <c r="BR521" i="1" s="1"/>
  <c r="T521" i="1"/>
  <c r="BK521" i="1" s="1"/>
  <c r="AB521" i="1"/>
  <c r="BS521" i="1" s="1"/>
  <c r="W521" i="1"/>
  <c r="BL521" i="1" s="1"/>
  <c r="U521" i="1"/>
  <c r="BN521" i="1" s="1"/>
  <c r="Z521" i="1"/>
  <c r="BM521" i="1" s="1"/>
  <c r="X521" i="1"/>
  <c r="BO521" i="1" s="1"/>
  <c r="V521" i="1"/>
  <c r="BQ521" i="1" s="1"/>
  <c r="F265" i="1"/>
  <c r="F286" i="1"/>
  <c r="H305" i="1"/>
  <c r="I305" i="1"/>
  <c r="I306" i="1" s="1"/>
  <c r="J305" i="1"/>
  <c r="J306" i="1" s="1"/>
  <c r="G305" i="1"/>
  <c r="H304" i="1"/>
  <c r="I304" i="1"/>
  <c r="J304" i="1"/>
  <c r="G304" i="1"/>
  <c r="L513" i="1" l="1"/>
  <c r="BD513" i="1"/>
  <c r="F26" i="1"/>
  <c r="F19" i="1"/>
  <c r="M466" i="1"/>
  <c r="M474" i="1" s="1"/>
  <c r="F468" i="1"/>
  <c r="G468" i="1"/>
  <c r="H468" i="1"/>
  <c r="I468" i="1"/>
  <c r="J468" i="1"/>
  <c r="K468" i="1"/>
  <c r="M468" i="1"/>
  <c r="E468" i="1"/>
  <c r="E476" i="1" s="1"/>
  <c r="J476" i="1" l="1"/>
  <c r="I476" i="1"/>
  <c r="M513" i="1"/>
  <c r="BF513" i="1"/>
  <c r="M523" i="1"/>
  <c r="G476" i="1"/>
  <c r="F476" i="1"/>
  <c r="H476" i="1"/>
  <c r="M476" i="1"/>
  <c r="L468" i="1"/>
  <c r="L476" i="1" s="1"/>
  <c r="K476" i="1"/>
  <c r="M450" i="1"/>
  <c r="E450" i="1"/>
  <c r="M449" i="1"/>
  <c r="N513" i="1" l="1"/>
  <c r="AZ513" i="1"/>
  <c r="N523" i="1"/>
  <c r="G467" i="1"/>
  <c r="I467" i="1"/>
  <c r="K467" i="1"/>
  <c r="M467" i="1"/>
  <c r="E467" i="1"/>
  <c r="E475" i="1" s="1"/>
  <c r="L3145" i="1"/>
  <c r="L467" i="1" s="1"/>
  <c r="J3145" i="1"/>
  <c r="J467" i="1" s="1"/>
  <c r="H3145" i="1"/>
  <c r="H467" i="1" s="1"/>
  <c r="F3145" i="1"/>
  <c r="F467" i="1" s="1"/>
  <c r="E449" i="1"/>
  <c r="J446" i="1"/>
  <c r="K772" i="1"/>
  <c r="K444" i="1" s="1"/>
  <c r="L772" i="1"/>
  <c r="L444" i="1" s="1"/>
  <c r="L771" i="1"/>
  <c r="L445" i="1" s="1"/>
  <c r="K771" i="1"/>
  <c r="K445" i="1" s="1"/>
  <c r="G772" i="1"/>
  <c r="G444" i="1" s="1"/>
  <c r="H772" i="1"/>
  <c r="H444" i="1" s="1"/>
  <c r="I772" i="1"/>
  <c r="I444" i="1" s="1"/>
  <c r="I771" i="1"/>
  <c r="I445" i="1" s="1"/>
  <c r="H771" i="1"/>
  <c r="H445" i="1" s="1"/>
  <c r="G771" i="1"/>
  <c r="G445" i="1" s="1"/>
  <c r="F444" i="1"/>
  <c r="J444" i="1"/>
  <c r="M444" i="1"/>
  <c r="F445" i="1"/>
  <c r="J445" i="1"/>
  <c r="M445" i="1"/>
  <c r="E444" i="1"/>
  <c r="F443" i="1"/>
  <c r="G443" i="1"/>
  <c r="H443" i="1"/>
  <c r="I443" i="1"/>
  <c r="J443" i="1"/>
  <c r="K443" i="1"/>
  <c r="L443" i="1"/>
  <c r="M443" i="1"/>
  <c r="E443" i="1"/>
  <c r="E428" i="1"/>
  <c r="M428" i="1" s="1"/>
  <c r="E427" i="1"/>
  <c r="M427" i="1" s="1"/>
  <c r="F420" i="1"/>
  <c r="G420" i="1"/>
  <c r="H420" i="1"/>
  <c r="I420" i="1"/>
  <c r="J420" i="1"/>
  <c r="K420" i="1"/>
  <c r="L420" i="1"/>
  <c r="M420" i="1"/>
  <c r="E420" i="1"/>
  <c r="K761" i="1"/>
  <c r="K399" i="1" s="1"/>
  <c r="L761" i="1"/>
  <c r="L399" i="1" s="1"/>
  <c r="K762" i="1"/>
  <c r="K398" i="1" s="1"/>
  <c r="L762" i="1"/>
  <c r="L398" i="1" s="1"/>
  <c r="I762" i="1"/>
  <c r="I398" i="1" s="1"/>
  <c r="H762" i="1"/>
  <c r="H398" i="1" s="1"/>
  <c r="G762" i="1"/>
  <c r="G398" i="1" s="1"/>
  <c r="I761" i="1"/>
  <c r="I399" i="1" s="1"/>
  <c r="H761" i="1"/>
  <c r="H399" i="1" s="1"/>
  <c r="G761" i="1"/>
  <c r="G399" i="1" s="1"/>
  <c r="J3085" i="1"/>
  <c r="K3085" i="1" s="1"/>
  <c r="F405" i="1"/>
  <c r="G405" i="1"/>
  <c r="H405" i="1"/>
  <c r="I405" i="1"/>
  <c r="E405" i="1"/>
  <c r="M404" i="1"/>
  <c r="I404" i="1"/>
  <c r="E404" i="1"/>
  <c r="M401" i="1"/>
  <c r="L401" i="1" s="1"/>
  <c r="I401" i="1" s="1"/>
  <c r="M400" i="1"/>
  <c r="J400" i="1" s="1"/>
  <c r="F398" i="1"/>
  <c r="J398" i="1"/>
  <c r="M398" i="1"/>
  <c r="F399" i="1"/>
  <c r="J399" i="1"/>
  <c r="M399" i="1"/>
  <c r="E399" i="1"/>
  <c r="E398" i="1"/>
  <c r="G396" i="1"/>
  <c r="J396" i="1"/>
  <c r="M396" i="1"/>
  <c r="G397" i="1"/>
  <c r="J397" i="1"/>
  <c r="M397" i="1"/>
  <c r="E397" i="1"/>
  <c r="E396" i="1"/>
  <c r="AE237" i="1"/>
  <c r="AD235" i="1"/>
  <c r="AE235" i="1"/>
  <c r="AD236" i="1"/>
  <c r="AE236" i="1"/>
  <c r="AD237" i="1"/>
  <c r="AD238" i="1"/>
  <c r="AE238" i="1"/>
  <c r="AE239" i="1"/>
  <c r="AD241" i="1"/>
  <c r="AE241" i="1"/>
  <c r="AD242" i="1"/>
  <c r="AE242" i="1"/>
  <c r="AD244" i="1"/>
  <c r="AE244" i="1"/>
  <c r="AG244" i="1"/>
  <c r="AF244" i="1"/>
  <c r="AG242" i="1"/>
  <c r="AF242" i="1"/>
  <c r="AG241" i="1"/>
  <c r="AF241" i="1"/>
  <c r="AG239" i="1"/>
  <c r="AF239" i="1"/>
  <c r="AG238" i="1"/>
  <c r="AF238" i="1"/>
  <c r="AG237" i="1"/>
  <c r="AF237" i="1"/>
  <c r="AG236" i="1"/>
  <c r="AF236" i="1"/>
  <c r="AG235" i="1"/>
  <c r="AF235" i="1"/>
  <c r="AF127" i="1"/>
  <c r="AF125" i="1"/>
  <c r="BW125" i="1" s="1"/>
  <c r="AF124" i="1"/>
  <c r="BW124" i="1" s="1"/>
  <c r="AF122" i="1"/>
  <c r="AF121" i="1"/>
  <c r="AF120" i="1"/>
  <c r="AF119" i="1"/>
  <c r="BW119" i="1" s="1"/>
  <c r="AF118" i="1"/>
  <c r="AC173" i="1"/>
  <c r="AB173" i="1"/>
  <c r="BQ173" i="1" s="1"/>
  <c r="AA173" i="1"/>
  <c r="BN173" i="1" s="1"/>
  <c r="Z173" i="1"/>
  <c r="Y173" i="1"/>
  <c r="BP173" i="1" s="1"/>
  <c r="X173" i="1"/>
  <c r="BM173" i="1" s="1"/>
  <c r="W173" i="1"/>
  <c r="BR173" i="1" s="1"/>
  <c r="V173" i="1"/>
  <c r="BO173" i="1" s="1"/>
  <c r="U173" i="1"/>
  <c r="BL173" i="1" s="1"/>
  <c r="AC171" i="1"/>
  <c r="AB171" i="1"/>
  <c r="BQ171" i="1" s="1"/>
  <c r="AA171" i="1"/>
  <c r="BN171" i="1" s="1"/>
  <c r="Z171" i="1"/>
  <c r="Y171" i="1"/>
  <c r="BP171" i="1" s="1"/>
  <c r="X171" i="1"/>
  <c r="BM171" i="1" s="1"/>
  <c r="W171" i="1"/>
  <c r="BR171" i="1" s="1"/>
  <c r="V171" i="1"/>
  <c r="BO171" i="1" s="1"/>
  <c r="U171" i="1"/>
  <c r="BL171" i="1" s="1"/>
  <c r="AC170" i="1"/>
  <c r="AB170" i="1"/>
  <c r="BQ170" i="1" s="1"/>
  <c r="AA170" i="1"/>
  <c r="BN170" i="1" s="1"/>
  <c r="Z170" i="1"/>
  <c r="Y170" i="1"/>
  <c r="BP170" i="1" s="1"/>
  <c r="X170" i="1"/>
  <c r="BM170" i="1" s="1"/>
  <c r="W170" i="1"/>
  <c r="BR170" i="1" s="1"/>
  <c r="V170" i="1"/>
  <c r="BO170" i="1" s="1"/>
  <c r="U170" i="1"/>
  <c r="BL170" i="1" s="1"/>
  <c r="AC168" i="1"/>
  <c r="AB168" i="1"/>
  <c r="BQ168" i="1" s="1"/>
  <c r="AA168" i="1"/>
  <c r="BN168" i="1" s="1"/>
  <c r="Z168" i="1"/>
  <c r="Y168" i="1"/>
  <c r="BP168" i="1" s="1"/>
  <c r="X168" i="1"/>
  <c r="BM168" i="1" s="1"/>
  <c r="W168" i="1"/>
  <c r="BR168" i="1" s="1"/>
  <c r="V168" i="1"/>
  <c r="BO168" i="1" s="1"/>
  <c r="U168" i="1"/>
  <c r="BL168" i="1" s="1"/>
  <c r="AC167" i="1"/>
  <c r="AB167" i="1"/>
  <c r="BQ167" i="1" s="1"/>
  <c r="AA167" i="1"/>
  <c r="BN167" i="1" s="1"/>
  <c r="Z167" i="1"/>
  <c r="Y167" i="1"/>
  <c r="BP167" i="1" s="1"/>
  <c r="X167" i="1"/>
  <c r="BM167" i="1" s="1"/>
  <c r="W167" i="1"/>
  <c r="BR167" i="1" s="1"/>
  <c r="V167" i="1"/>
  <c r="BO167" i="1" s="1"/>
  <c r="U167" i="1"/>
  <c r="BL167" i="1" s="1"/>
  <c r="AC166" i="1"/>
  <c r="AB166" i="1"/>
  <c r="BQ166" i="1" s="1"/>
  <c r="AA166" i="1"/>
  <c r="BN166" i="1" s="1"/>
  <c r="Z166" i="1"/>
  <c r="Y166" i="1"/>
  <c r="BP166" i="1" s="1"/>
  <c r="X166" i="1"/>
  <c r="BM166" i="1" s="1"/>
  <c r="W166" i="1"/>
  <c r="BR166" i="1" s="1"/>
  <c r="V166" i="1"/>
  <c r="BO166" i="1" s="1"/>
  <c r="U166" i="1"/>
  <c r="BL166" i="1" s="1"/>
  <c r="AC165" i="1"/>
  <c r="AB165" i="1"/>
  <c r="BQ165" i="1" s="1"/>
  <c r="AA165" i="1"/>
  <c r="BN165" i="1" s="1"/>
  <c r="Z165" i="1"/>
  <c r="Y165" i="1"/>
  <c r="BP165" i="1" s="1"/>
  <c r="X165" i="1"/>
  <c r="BM165" i="1" s="1"/>
  <c r="W165" i="1"/>
  <c r="BR165" i="1" s="1"/>
  <c r="V165" i="1"/>
  <c r="BO165" i="1" s="1"/>
  <c r="U165" i="1"/>
  <c r="BL165" i="1" s="1"/>
  <c r="AC164" i="1"/>
  <c r="AB164" i="1"/>
  <c r="BQ164" i="1" s="1"/>
  <c r="AA164" i="1"/>
  <c r="BN164" i="1" s="1"/>
  <c r="Z164" i="1"/>
  <c r="Y164" i="1"/>
  <c r="BP164" i="1" s="1"/>
  <c r="X164" i="1"/>
  <c r="BM164" i="1" s="1"/>
  <c r="W164" i="1"/>
  <c r="BR164" i="1" s="1"/>
  <c r="V164" i="1"/>
  <c r="BO164" i="1" s="1"/>
  <c r="U164" i="1"/>
  <c r="BL164" i="1" s="1"/>
  <c r="AC219" i="1"/>
  <c r="AB219" i="1"/>
  <c r="BQ219" i="1" s="1"/>
  <c r="AA219" i="1"/>
  <c r="BN219" i="1" s="1"/>
  <c r="Z219" i="1"/>
  <c r="Y219" i="1"/>
  <c r="BP219" i="1" s="1"/>
  <c r="X219" i="1"/>
  <c r="BM219" i="1" s="1"/>
  <c r="W219" i="1"/>
  <c r="BR219" i="1" s="1"/>
  <c r="V219" i="1"/>
  <c r="BO219" i="1" s="1"/>
  <c r="U219" i="1"/>
  <c r="BL219" i="1" s="1"/>
  <c r="AC217" i="1"/>
  <c r="AB217" i="1"/>
  <c r="BQ217" i="1" s="1"/>
  <c r="AA217" i="1"/>
  <c r="BN217" i="1" s="1"/>
  <c r="Z217" i="1"/>
  <c r="Y217" i="1"/>
  <c r="BP217" i="1" s="1"/>
  <c r="X217" i="1"/>
  <c r="BM217" i="1" s="1"/>
  <c r="W217" i="1"/>
  <c r="BR217" i="1" s="1"/>
  <c r="V217" i="1"/>
  <c r="BO217" i="1" s="1"/>
  <c r="U217" i="1"/>
  <c r="BL217" i="1" s="1"/>
  <c r="AC216" i="1"/>
  <c r="AB216" i="1"/>
  <c r="BQ216" i="1" s="1"/>
  <c r="AA216" i="1"/>
  <c r="BN216" i="1" s="1"/>
  <c r="Z216" i="1"/>
  <c r="Y216" i="1"/>
  <c r="BP216" i="1" s="1"/>
  <c r="X216" i="1"/>
  <c r="BM216" i="1" s="1"/>
  <c r="W216" i="1"/>
  <c r="BR216" i="1" s="1"/>
  <c r="V216" i="1"/>
  <c r="BO216" i="1" s="1"/>
  <c r="U216" i="1"/>
  <c r="BL216" i="1" s="1"/>
  <c r="AC214" i="1"/>
  <c r="AB214" i="1"/>
  <c r="BQ214" i="1" s="1"/>
  <c r="AA214" i="1"/>
  <c r="BN214" i="1" s="1"/>
  <c r="Z214" i="1"/>
  <c r="Y214" i="1"/>
  <c r="BP214" i="1" s="1"/>
  <c r="X214" i="1"/>
  <c r="BM214" i="1" s="1"/>
  <c r="W214" i="1"/>
  <c r="BR214" i="1" s="1"/>
  <c r="V214" i="1"/>
  <c r="BO214" i="1" s="1"/>
  <c r="U214" i="1"/>
  <c r="BL214" i="1" s="1"/>
  <c r="AC213" i="1"/>
  <c r="AB213" i="1"/>
  <c r="BQ213" i="1" s="1"/>
  <c r="AA213" i="1"/>
  <c r="BN213" i="1" s="1"/>
  <c r="Z213" i="1"/>
  <c r="Y213" i="1"/>
  <c r="BP213" i="1" s="1"/>
  <c r="X213" i="1"/>
  <c r="BM213" i="1" s="1"/>
  <c r="W213" i="1"/>
  <c r="BR213" i="1" s="1"/>
  <c r="V213" i="1"/>
  <c r="BO213" i="1" s="1"/>
  <c r="U213" i="1"/>
  <c r="BL213" i="1" s="1"/>
  <c r="AC212" i="1"/>
  <c r="AB212" i="1"/>
  <c r="BQ212" i="1" s="1"/>
  <c r="AA212" i="1"/>
  <c r="BN212" i="1" s="1"/>
  <c r="Z212" i="1"/>
  <c r="Y212" i="1"/>
  <c r="BP212" i="1" s="1"/>
  <c r="X212" i="1"/>
  <c r="BM212" i="1" s="1"/>
  <c r="W212" i="1"/>
  <c r="BR212" i="1" s="1"/>
  <c r="V212" i="1"/>
  <c r="BO212" i="1" s="1"/>
  <c r="U212" i="1"/>
  <c r="BL212" i="1" s="1"/>
  <c r="AC211" i="1"/>
  <c r="AB211" i="1"/>
  <c r="BQ211" i="1" s="1"/>
  <c r="AA211" i="1"/>
  <c r="BN211" i="1" s="1"/>
  <c r="Z211" i="1"/>
  <c r="Y211" i="1"/>
  <c r="BP211" i="1" s="1"/>
  <c r="X211" i="1"/>
  <c r="BM211" i="1" s="1"/>
  <c r="W211" i="1"/>
  <c r="BR211" i="1" s="1"/>
  <c r="V211" i="1"/>
  <c r="BO211" i="1" s="1"/>
  <c r="U211" i="1"/>
  <c r="BL211" i="1" s="1"/>
  <c r="AC210" i="1"/>
  <c r="AB210" i="1"/>
  <c r="BQ210" i="1" s="1"/>
  <c r="AA210" i="1"/>
  <c r="BN210" i="1" s="1"/>
  <c r="Z210" i="1"/>
  <c r="Y210" i="1"/>
  <c r="BP210" i="1" s="1"/>
  <c r="X210" i="1"/>
  <c r="BM210" i="1" s="1"/>
  <c r="W210" i="1"/>
  <c r="BR210" i="1" s="1"/>
  <c r="V210" i="1"/>
  <c r="BO210" i="1" s="1"/>
  <c r="U210" i="1"/>
  <c r="BL210" i="1" s="1"/>
  <c r="AE127" i="1"/>
  <c r="AD127" i="1"/>
  <c r="AC127" i="1"/>
  <c r="AB127" i="1"/>
  <c r="AA127" i="1"/>
  <c r="Z127" i="1"/>
  <c r="Y127" i="1"/>
  <c r="X127" i="1"/>
  <c r="AE125" i="1"/>
  <c r="BT125" i="1" s="1"/>
  <c r="AD125" i="1"/>
  <c r="BQ125" i="1" s="1"/>
  <c r="AC125" i="1"/>
  <c r="BV125" i="1" s="1"/>
  <c r="AB125" i="1"/>
  <c r="BS125" i="1" s="1"/>
  <c r="AA125" i="1"/>
  <c r="BP125" i="1" s="1"/>
  <c r="Z125" i="1"/>
  <c r="BU125" i="1" s="1"/>
  <c r="Y125" i="1"/>
  <c r="BR125" i="1" s="1"/>
  <c r="X125" i="1"/>
  <c r="BO125" i="1" s="1"/>
  <c r="AE124" i="1"/>
  <c r="BT124" i="1" s="1"/>
  <c r="AD124" i="1"/>
  <c r="BQ124" i="1" s="1"/>
  <c r="AC124" i="1"/>
  <c r="BV124" i="1" s="1"/>
  <c r="AB124" i="1"/>
  <c r="BS124" i="1" s="1"/>
  <c r="AA124" i="1"/>
  <c r="BP124" i="1" s="1"/>
  <c r="Z124" i="1"/>
  <c r="BU124" i="1" s="1"/>
  <c r="Y124" i="1"/>
  <c r="BR124" i="1" s="1"/>
  <c r="X124" i="1"/>
  <c r="BO124" i="1" s="1"/>
  <c r="AE122" i="1"/>
  <c r="AD122" i="1"/>
  <c r="AC122" i="1"/>
  <c r="AB122" i="1"/>
  <c r="AA122" i="1"/>
  <c r="Z122" i="1"/>
  <c r="Y122" i="1"/>
  <c r="X122" i="1"/>
  <c r="AE121" i="1"/>
  <c r="AD121" i="1"/>
  <c r="AC121" i="1"/>
  <c r="AB121" i="1"/>
  <c r="AA121" i="1"/>
  <c r="Z121" i="1"/>
  <c r="Y121" i="1"/>
  <c r="X121" i="1"/>
  <c r="AE120" i="1"/>
  <c r="AD120" i="1"/>
  <c r="AC120" i="1"/>
  <c r="AB120" i="1"/>
  <c r="AA120" i="1"/>
  <c r="Z120" i="1"/>
  <c r="Y120" i="1"/>
  <c r="X120" i="1"/>
  <c r="AE119" i="1"/>
  <c r="BT119" i="1" s="1"/>
  <c r="AD119" i="1"/>
  <c r="BQ119" i="1" s="1"/>
  <c r="AC119" i="1"/>
  <c r="BV119" i="1" s="1"/>
  <c r="AB119" i="1"/>
  <c r="BS119" i="1" s="1"/>
  <c r="AA119" i="1"/>
  <c r="BP119" i="1" s="1"/>
  <c r="Z119" i="1"/>
  <c r="BU119" i="1" s="1"/>
  <c r="Y119" i="1"/>
  <c r="BR119" i="1" s="1"/>
  <c r="X119" i="1"/>
  <c r="BO119" i="1" s="1"/>
  <c r="AE118" i="1"/>
  <c r="AD118" i="1"/>
  <c r="AC118" i="1"/>
  <c r="AB118" i="1"/>
  <c r="AA118" i="1"/>
  <c r="Z118" i="1"/>
  <c r="Y118" i="1"/>
  <c r="X118" i="1"/>
  <c r="Y114" i="1"/>
  <c r="Z114" i="1"/>
  <c r="AA114" i="1"/>
  <c r="AB114" i="1"/>
  <c r="AC114" i="1"/>
  <c r="AD114" i="1"/>
  <c r="AE114" i="1"/>
  <c r="AF114" i="1"/>
  <c r="X114" i="1"/>
  <c r="M2880" i="1"/>
  <c r="J2880" i="1"/>
  <c r="H2880" i="1"/>
  <c r="G2880" i="1"/>
  <c r="F2880" i="1"/>
  <c r="E2880" i="1"/>
  <c r="M2858" i="1"/>
  <c r="J2858" i="1"/>
  <c r="H2858" i="1"/>
  <c r="G2858" i="1"/>
  <c r="F2858" i="1"/>
  <c r="E2858" i="1"/>
  <c r="M2836" i="1"/>
  <c r="J2836" i="1"/>
  <c r="H2836" i="1"/>
  <c r="G2836" i="1"/>
  <c r="F2836" i="1"/>
  <c r="E2836" i="1"/>
  <c r="M3056" i="1"/>
  <c r="J3056" i="1"/>
  <c r="H3056" i="1"/>
  <c r="G3056" i="1"/>
  <c r="F3056" i="1"/>
  <c r="E3056" i="1"/>
  <c r="M3034" i="1"/>
  <c r="J3034" i="1"/>
  <c r="H3034" i="1"/>
  <c r="G3034" i="1"/>
  <c r="F3034" i="1"/>
  <c r="E3034" i="1"/>
  <c r="M3012" i="1"/>
  <c r="J3012" i="1"/>
  <c r="H3012" i="1"/>
  <c r="G3012" i="1"/>
  <c r="F3012" i="1"/>
  <c r="E3012" i="1"/>
  <c r="M2990" i="1"/>
  <c r="J2990" i="1"/>
  <c r="H2990" i="1"/>
  <c r="G2990" i="1"/>
  <c r="F2990" i="1"/>
  <c r="E2990" i="1"/>
  <c r="M2968" i="1"/>
  <c r="J2968" i="1"/>
  <c r="H2968" i="1"/>
  <c r="G2968" i="1"/>
  <c r="F2968" i="1"/>
  <c r="E2968" i="1"/>
  <c r="M2946" i="1"/>
  <c r="J2946" i="1"/>
  <c r="G2946" i="1"/>
  <c r="E2946" i="1"/>
  <c r="M2924" i="1"/>
  <c r="J2924" i="1"/>
  <c r="G2924" i="1"/>
  <c r="E2924" i="1"/>
  <c r="F2902" i="1"/>
  <c r="G2902" i="1"/>
  <c r="H2902" i="1"/>
  <c r="J2902" i="1"/>
  <c r="M2902" i="1"/>
  <c r="E2902" i="1"/>
  <c r="G470" i="1" l="1"/>
  <c r="F470" i="1"/>
  <c r="E469" i="1" s="1"/>
  <c r="L475" i="1"/>
  <c r="O513" i="1"/>
  <c r="BE513" i="1" s="1"/>
  <c r="BC513" i="1"/>
  <c r="O523" i="1"/>
  <c r="BS118" i="1"/>
  <c r="BT118" i="1"/>
  <c r="BO118" i="1"/>
  <c r="BW118" i="1"/>
  <c r="BR118" i="1"/>
  <c r="BQ118" i="1"/>
  <c r="BU118" i="1"/>
  <c r="BV118" i="1"/>
  <c r="BP118" i="1"/>
  <c r="BT214" i="1"/>
  <c r="BS210" i="1"/>
  <c r="BT216" i="1"/>
  <c r="BS211" i="1"/>
  <c r="BT217" i="1"/>
  <c r="BS213" i="1"/>
  <c r="BT211" i="1"/>
  <c r="BS214" i="1"/>
  <c r="BS219" i="1"/>
  <c r="BT212" i="1"/>
  <c r="BS216" i="1"/>
  <c r="BS212" i="1"/>
  <c r="BT219" i="1"/>
  <c r="BT210" i="1"/>
  <c r="BT213" i="1"/>
  <c r="BS217" i="1"/>
  <c r="BS164" i="1"/>
  <c r="BT170" i="1"/>
  <c r="BT171" i="1"/>
  <c r="BS166" i="1"/>
  <c r="BT173" i="1"/>
  <c r="BT168" i="1"/>
  <c r="BS173" i="1"/>
  <c r="BS165" i="1"/>
  <c r="BT164" i="1"/>
  <c r="BS167" i="1"/>
  <c r="BT165" i="1"/>
  <c r="BS168" i="1"/>
  <c r="BT166" i="1"/>
  <c r="BS170" i="1"/>
  <c r="BT167" i="1"/>
  <c r="BS171" i="1"/>
  <c r="BW122" i="1"/>
  <c r="BW120" i="1"/>
  <c r="BW127" i="1"/>
  <c r="BW121" i="1"/>
  <c r="BQ120" i="1"/>
  <c r="BQ121" i="1"/>
  <c r="BQ122" i="1"/>
  <c r="BQ127" i="1"/>
  <c r="BT120" i="1"/>
  <c r="BT121" i="1"/>
  <c r="BT122" i="1"/>
  <c r="BT127" i="1"/>
  <c r="BV120" i="1"/>
  <c r="BV121" i="1"/>
  <c r="BV122" i="1"/>
  <c r="BV127" i="1"/>
  <c r="BS121" i="1"/>
  <c r="BS127" i="1"/>
  <c r="BS120" i="1"/>
  <c r="BS122" i="1"/>
  <c r="BR120" i="1"/>
  <c r="BR121" i="1"/>
  <c r="BR122" i="1"/>
  <c r="BR127" i="1"/>
  <c r="BU120" i="1"/>
  <c r="BU121" i="1"/>
  <c r="BU122" i="1"/>
  <c r="BU127" i="1"/>
  <c r="BP120" i="1"/>
  <c r="BP121" i="1"/>
  <c r="BP122" i="1"/>
  <c r="BP127" i="1"/>
  <c r="BO120" i="1"/>
  <c r="BO121" i="1"/>
  <c r="BO122" i="1"/>
  <c r="BO127" i="1"/>
  <c r="H475" i="1"/>
  <c r="J475" i="1"/>
  <c r="K475" i="1"/>
  <c r="M475" i="1"/>
  <c r="I475" i="1"/>
  <c r="F475" i="1"/>
  <c r="G475" i="1"/>
  <c r="L3085" i="1"/>
  <c r="L405" i="1" s="1"/>
  <c r="K405" i="1"/>
  <c r="E452" i="1"/>
  <c r="J405" i="1"/>
  <c r="K400" i="1"/>
  <c r="H400" i="1" s="1"/>
  <c r="L400" i="1"/>
  <c r="I400" i="1" s="1"/>
  <c r="J401" i="1"/>
  <c r="K401" i="1"/>
  <c r="H401" i="1" s="1"/>
  <c r="AD239" i="1"/>
  <c r="F551" i="1"/>
  <c r="G551" i="1"/>
  <c r="H551" i="1"/>
  <c r="J551" i="1"/>
  <c r="M551" i="1"/>
  <c r="F552" i="1"/>
  <c r="G552" i="1"/>
  <c r="H552" i="1"/>
  <c r="J552" i="1"/>
  <c r="M552" i="1"/>
  <c r="F553" i="1"/>
  <c r="G553" i="1"/>
  <c r="H553" i="1"/>
  <c r="J553" i="1"/>
  <c r="M553" i="1"/>
  <c r="F554" i="1"/>
  <c r="G554" i="1"/>
  <c r="H554" i="1"/>
  <c r="J554" i="1"/>
  <c r="M554" i="1"/>
  <c r="F555" i="1"/>
  <c r="G555" i="1"/>
  <c r="H555" i="1"/>
  <c r="J555" i="1"/>
  <c r="M555" i="1"/>
  <c r="F556" i="1"/>
  <c r="G556" i="1"/>
  <c r="H556" i="1"/>
  <c r="J556" i="1"/>
  <c r="M556" i="1"/>
  <c r="F557" i="1"/>
  <c r="G557" i="1"/>
  <c r="H557" i="1"/>
  <c r="J557" i="1"/>
  <c r="M557" i="1"/>
  <c r="F558" i="1"/>
  <c r="G558" i="1"/>
  <c r="H558" i="1"/>
  <c r="J558" i="1"/>
  <c r="M558" i="1"/>
  <c r="F559" i="1"/>
  <c r="G559" i="1"/>
  <c r="H559" i="1"/>
  <c r="J559" i="1"/>
  <c r="M559" i="1"/>
  <c r="E552" i="1"/>
  <c r="E553" i="1"/>
  <c r="E554" i="1"/>
  <c r="E555" i="1"/>
  <c r="E556" i="1"/>
  <c r="E557" i="1"/>
  <c r="E558" i="1"/>
  <c r="E559" i="1"/>
  <c r="E551" i="1"/>
  <c r="F380" i="1"/>
  <c r="G380" i="1"/>
  <c r="H380" i="1"/>
  <c r="I380" i="1"/>
  <c r="J380" i="1"/>
  <c r="K380" i="1"/>
  <c r="L380" i="1"/>
  <c r="M380" i="1"/>
  <c r="E380" i="1"/>
  <c r="I379" i="1"/>
  <c r="M379" i="1"/>
  <c r="E379" i="1"/>
  <c r="K2771" i="1"/>
  <c r="K354" i="1" s="1"/>
  <c r="L2771" i="1"/>
  <c r="L354" i="1" s="1"/>
  <c r="K2772" i="1"/>
  <c r="K355" i="1" s="1"/>
  <c r="L2772" i="1"/>
  <c r="L355" i="1" s="1"/>
  <c r="K2773" i="1"/>
  <c r="K356" i="1" s="1"/>
  <c r="L2773" i="1"/>
  <c r="L356" i="1" s="1"/>
  <c r="K2774" i="1"/>
  <c r="K357" i="1" s="1"/>
  <c r="L2774" i="1"/>
  <c r="L357" i="1" s="1"/>
  <c r="K2775" i="1"/>
  <c r="K358" i="1" s="1"/>
  <c r="L2775" i="1"/>
  <c r="L358" i="1" s="1"/>
  <c r="K2776" i="1"/>
  <c r="K359" i="1" s="1"/>
  <c r="L2776" i="1"/>
  <c r="L359" i="1" s="1"/>
  <c r="K2777" i="1"/>
  <c r="K360" i="1" s="1"/>
  <c r="L2777" i="1"/>
  <c r="L360" i="1" s="1"/>
  <c r="K2778" i="1"/>
  <c r="K361" i="1" s="1"/>
  <c r="L2778" i="1"/>
  <c r="L361" i="1" s="1"/>
  <c r="K2779" i="1"/>
  <c r="L2779" i="1"/>
  <c r="K2780" i="1"/>
  <c r="L2780" i="1"/>
  <c r="K2781" i="1"/>
  <c r="L2781" i="1"/>
  <c r="K2782" i="1"/>
  <c r="L2782" i="1"/>
  <c r="K2783" i="1"/>
  <c r="L2783" i="1"/>
  <c r="K2784" i="1"/>
  <c r="L2784" i="1"/>
  <c r="K2785" i="1"/>
  <c r="L2785" i="1"/>
  <c r="K2786" i="1"/>
  <c r="L2786" i="1"/>
  <c r="K2787" i="1"/>
  <c r="L2787" i="1"/>
  <c r="L2770" i="1"/>
  <c r="L353" i="1" s="1"/>
  <c r="K2770" i="1"/>
  <c r="K353" i="1" s="1"/>
  <c r="I2771" i="1"/>
  <c r="I354" i="1" s="1"/>
  <c r="I2772" i="1"/>
  <c r="I355" i="1" s="1"/>
  <c r="I2773" i="1"/>
  <c r="I356" i="1" s="1"/>
  <c r="I2774" i="1"/>
  <c r="I357" i="1" s="1"/>
  <c r="I2775" i="1"/>
  <c r="I358" i="1" s="1"/>
  <c r="I2776" i="1"/>
  <c r="I359" i="1" s="1"/>
  <c r="I2777" i="1"/>
  <c r="I360" i="1" s="1"/>
  <c r="I2778" i="1"/>
  <c r="I361" i="1" s="1"/>
  <c r="I2779" i="1"/>
  <c r="I2780" i="1"/>
  <c r="I2781" i="1"/>
  <c r="I2782" i="1"/>
  <c r="I2783" i="1"/>
  <c r="I2784" i="1"/>
  <c r="I2785" i="1"/>
  <c r="I2786" i="1"/>
  <c r="I2787" i="1"/>
  <c r="I2770" i="1"/>
  <c r="I353" i="1" s="1"/>
  <c r="I263" i="1"/>
  <c r="I300" i="1" s="1"/>
  <c r="I284" i="1"/>
  <c r="I301" i="1" s="1"/>
  <c r="J284" i="1"/>
  <c r="J301" i="1" s="1"/>
  <c r="H284" i="1"/>
  <c r="H301" i="1" s="1"/>
  <c r="G284" i="1"/>
  <c r="G301" i="1" s="1"/>
  <c r="M2879" i="1"/>
  <c r="J2879" i="1"/>
  <c r="H2879" i="1"/>
  <c r="G2879" i="1"/>
  <c r="F2879" i="1"/>
  <c r="E2879" i="1"/>
  <c r="M2857" i="1"/>
  <c r="F284" i="1" s="1"/>
  <c r="J2857" i="1"/>
  <c r="H2857" i="1"/>
  <c r="G2857" i="1"/>
  <c r="F2857" i="1"/>
  <c r="E2857" i="1"/>
  <c r="M2835" i="1"/>
  <c r="J2835" i="1"/>
  <c r="H2835" i="1"/>
  <c r="G2835" i="1"/>
  <c r="F2835" i="1"/>
  <c r="E2835" i="1"/>
  <c r="M3055" i="1"/>
  <c r="J3055" i="1"/>
  <c r="H3055" i="1"/>
  <c r="G3055" i="1"/>
  <c r="F3055" i="1"/>
  <c r="E3055" i="1"/>
  <c r="M3033" i="1"/>
  <c r="J3033" i="1"/>
  <c r="H3033" i="1"/>
  <c r="G3033" i="1"/>
  <c r="F3033" i="1"/>
  <c r="E3033" i="1"/>
  <c r="M3011" i="1"/>
  <c r="Q521" i="1" s="1"/>
  <c r="BH521" i="1" s="1"/>
  <c r="J3011" i="1"/>
  <c r="H3011" i="1"/>
  <c r="G3011" i="1"/>
  <c r="F3011" i="1"/>
  <c r="E3011" i="1"/>
  <c r="M2989" i="1"/>
  <c r="J2989" i="1"/>
  <c r="H2989" i="1"/>
  <c r="G2989" i="1"/>
  <c r="F2989" i="1"/>
  <c r="E2989" i="1"/>
  <c r="M2967" i="1"/>
  <c r="J2967" i="1"/>
  <c r="H2967" i="1"/>
  <c r="G2967" i="1"/>
  <c r="F2967" i="1"/>
  <c r="E2967" i="1"/>
  <c r="M2945" i="1"/>
  <c r="J2945" i="1"/>
  <c r="G2945" i="1"/>
  <c r="E2945" i="1"/>
  <c r="M2923" i="1"/>
  <c r="J2923" i="1"/>
  <c r="G2923" i="1"/>
  <c r="E2923" i="1"/>
  <c r="F2901" i="1"/>
  <c r="G2901" i="1"/>
  <c r="H2901" i="1"/>
  <c r="J2901" i="1"/>
  <c r="M2901" i="1"/>
  <c r="E2901" i="1"/>
  <c r="J263" i="1"/>
  <c r="J300" i="1" s="1"/>
  <c r="H263" i="1"/>
  <c r="H300" i="1" s="1"/>
  <c r="G263" i="1"/>
  <c r="G300" i="1" s="1"/>
  <c r="H264" i="1"/>
  <c r="H302" i="1" s="1"/>
  <c r="G264" i="1"/>
  <c r="G302" i="1" s="1"/>
  <c r="M3140" i="1"/>
  <c r="L3140" i="1"/>
  <c r="K3140" i="1"/>
  <c r="T144" i="1" s="1"/>
  <c r="BK144" i="1" s="1"/>
  <c r="J3140" i="1"/>
  <c r="T167" i="1" s="1"/>
  <c r="BK167" i="1" s="1"/>
  <c r="I3140" i="1"/>
  <c r="T190" i="1" s="1"/>
  <c r="BK190" i="1" s="1"/>
  <c r="H3140" i="1"/>
  <c r="G3140" i="1"/>
  <c r="T213" i="1" s="1"/>
  <c r="BK213" i="1" s="1"/>
  <c r="F3140" i="1"/>
  <c r="E3140" i="1"/>
  <c r="D3140" i="1"/>
  <c r="M3139" i="1"/>
  <c r="L3139" i="1"/>
  <c r="K3139" i="1"/>
  <c r="T145" i="1" s="1"/>
  <c r="BK145" i="1" s="1"/>
  <c r="J3139" i="1"/>
  <c r="T168" i="1" s="1"/>
  <c r="BK168" i="1" s="1"/>
  <c r="I3139" i="1"/>
  <c r="T191" i="1" s="1"/>
  <c r="BK191" i="1" s="1"/>
  <c r="H3139" i="1"/>
  <c r="G3139" i="1"/>
  <c r="T214" i="1" s="1"/>
  <c r="BK214" i="1" s="1"/>
  <c r="F3139" i="1"/>
  <c r="E3139" i="1"/>
  <c r="D3139" i="1"/>
  <c r="M3138" i="1"/>
  <c r="W125" i="1" s="1"/>
  <c r="L3138" i="1"/>
  <c r="I285" i="1" s="1"/>
  <c r="I303" i="1" s="1"/>
  <c r="K3138" i="1"/>
  <c r="T148" i="1" s="1"/>
  <c r="BK148" i="1" s="1"/>
  <c r="J3138" i="1"/>
  <c r="T171" i="1" s="1"/>
  <c r="BK171" i="1" s="1"/>
  <c r="I3138" i="1"/>
  <c r="T194" i="1" s="1"/>
  <c r="BK194" i="1" s="1"/>
  <c r="H3138" i="1"/>
  <c r="G3138" i="1"/>
  <c r="T217" i="1" s="1"/>
  <c r="BK217" i="1" s="1"/>
  <c r="F3138" i="1"/>
  <c r="E3138" i="1"/>
  <c r="D3138" i="1"/>
  <c r="M3137" i="1"/>
  <c r="L3137" i="1"/>
  <c r="K3137" i="1"/>
  <c r="J3137" i="1"/>
  <c r="I3137" i="1"/>
  <c r="H3137" i="1"/>
  <c r="G3137" i="1"/>
  <c r="F3137" i="1"/>
  <c r="E3137" i="1"/>
  <c r="D3137" i="1"/>
  <c r="M3136" i="1"/>
  <c r="L3136" i="1"/>
  <c r="K3136" i="1"/>
  <c r="J3136" i="1"/>
  <c r="I3136" i="1"/>
  <c r="H3136" i="1"/>
  <c r="G3136" i="1"/>
  <c r="F3136" i="1"/>
  <c r="E3136" i="1"/>
  <c r="D3136" i="1"/>
  <c r="M3135" i="1"/>
  <c r="W120" i="1" s="1"/>
  <c r="BN120" i="1" s="1"/>
  <c r="L3135" i="1"/>
  <c r="K3135" i="1"/>
  <c r="T143" i="1" s="1"/>
  <c r="BK143" i="1" s="1"/>
  <c r="J3135" i="1"/>
  <c r="T166" i="1" s="1"/>
  <c r="BK166" i="1" s="1"/>
  <c r="I3135" i="1"/>
  <c r="T189" i="1" s="1"/>
  <c r="BK189" i="1" s="1"/>
  <c r="H3135" i="1"/>
  <c r="G3135" i="1"/>
  <c r="T212" i="1" s="1"/>
  <c r="BK212" i="1" s="1"/>
  <c r="F3135" i="1"/>
  <c r="E3135" i="1"/>
  <c r="D3135" i="1"/>
  <c r="M3134" i="1"/>
  <c r="L3134" i="1"/>
  <c r="K3134" i="1"/>
  <c r="T140" i="1" s="1"/>
  <c r="BK140" i="1" s="1"/>
  <c r="J3134" i="1"/>
  <c r="T163" i="1" s="1"/>
  <c r="BK163" i="1" s="1"/>
  <c r="I3134" i="1"/>
  <c r="T186" i="1" s="1"/>
  <c r="BK186" i="1" s="1"/>
  <c r="H3134" i="1"/>
  <c r="G3134" i="1"/>
  <c r="T209" i="1" s="1"/>
  <c r="BK209" i="1" s="1"/>
  <c r="F3134" i="1"/>
  <c r="E3134" i="1"/>
  <c r="M3133" i="1"/>
  <c r="L3133" i="1"/>
  <c r="K3133" i="1"/>
  <c r="J3133" i="1"/>
  <c r="I3133" i="1"/>
  <c r="H3133" i="1"/>
  <c r="G3133" i="1"/>
  <c r="F3133" i="1"/>
  <c r="E3133" i="1"/>
  <c r="D3133" i="1"/>
  <c r="E3110" i="1"/>
  <c r="F3110" i="1"/>
  <c r="G3110" i="1"/>
  <c r="H3110" i="1"/>
  <c r="I3110" i="1"/>
  <c r="J3110" i="1"/>
  <c r="K3110" i="1"/>
  <c r="L3110" i="1"/>
  <c r="M3110" i="1"/>
  <c r="E3111" i="1"/>
  <c r="F3111" i="1"/>
  <c r="G3111" i="1"/>
  <c r="S209" i="1" s="1"/>
  <c r="BJ209" i="1" s="1"/>
  <c r="H3111" i="1"/>
  <c r="I3111" i="1"/>
  <c r="S186" i="1" s="1"/>
  <c r="BJ186" i="1" s="1"/>
  <c r="J3111" i="1"/>
  <c r="S163" i="1" s="1"/>
  <c r="BJ163" i="1" s="1"/>
  <c r="K3111" i="1"/>
  <c r="S140" i="1" s="1"/>
  <c r="BJ140" i="1" s="1"/>
  <c r="L3111" i="1"/>
  <c r="M3111" i="1"/>
  <c r="V117" i="1" s="1"/>
  <c r="E3112" i="1"/>
  <c r="F3112" i="1"/>
  <c r="G3112" i="1"/>
  <c r="S212" i="1" s="1"/>
  <c r="BJ212" i="1" s="1"/>
  <c r="H3112" i="1"/>
  <c r="I3112" i="1"/>
  <c r="S189" i="1" s="1"/>
  <c r="BJ189" i="1" s="1"/>
  <c r="J3112" i="1"/>
  <c r="S166" i="1" s="1"/>
  <c r="BJ166" i="1" s="1"/>
  <c r="K3112" i="1"/>
  <c r="S143" i="1" s="1"/>
  <c r="BJ143" i="1" s="1"/>
  <c r="L3112" i="1"/>
  <c r="M3112" i="1"/>
  <c r="V120" i="1" s="1"/>
  <c r="BM120" i="1" s="1"/>
  <c r="E3113" i="1"/>
  <c r="F3113" i="1"/>
  <c r="G3113" i="1"/>
  <c r="H3113" i="1"/>
  <c r="I3113" i="1"/>
  <c r="J3113" i="1"/>
  <c r="K3113" i="1"/>
  <c r="L3113" i="1"/>
  <c r="M3113" i="1"/>
  <c r="E3114" i="1"/>
  <c r="F3114" i="1"/>
  <c r="G3114" i="1"/>
  <c r="H3114" i="1"/>
  <c r="I3114" i="1"/>
  <c r="J3114" i="1"/>
  <c r="K3114" i="1"/>
  <c r="L3114" i="1"/>
  <c r="M3114" i="1"/>
  <c r="E3115" i="1"/>
  <c r="F3115" i="1"/>
  <c r="G3115" i="1"/>
  <c r="S217" i="1" s="1"/>
  <c r="BJ217" i="1" s="1"/>
  <c r="H3115" i="1"/>
  <c r="I3115" i="1"/>
  <c r="S194" i="1" s="1"/>
  <c r="BJ194" i="1" s="1"/>
  <c r="J3115" i="1"/>
  <c r="S171" i="1" s="1"/>
  <c r="BJ171" i="1" s="1"/>
  <c r="K3115" i="1"/>
  <c r="S148" i="1" s="1"/>
  <c r="BJ148" i="1" s="1"/>
  <c r="L3115" i="1"/>
  <c r="M3115" i="1"/>
  <c r="V125" i="1" s="1"/>
  <c r="E3116" i="1"/>
  <c r="F3116" i="1"/>
  <c r="G3116" i="1"/>
  <c r="S214" i="1" s="1"/>
  <c r="BJ214" i="1" s="1"/>
  <c r="H3116" i="1"/>
  <c r="I3116" i="1"/>
  <c r="S191" i="1" s="1"/>
  <c r="BJ191" i="1" s="1"/>
  <c r="J3116" i="1"/>
  <c r="S168" i="1" s="1"/>
  <c r="BJ168" i="1" s="1"/>
  <c r="K3116" i="1"/>
  <c r="S145" i="1" s="1"/>
  <c r="BJ145" i="1" s="1"/>
  <c r="L3116" i="1"/>
  <c r="M3116" i="1"/>
  <c r="V122" i="1" s="1"/>
  <c r="E3117" i="1"/>
  <c r="F3117" i="1"/>
  <c r="G3117" i="1"/>
  <c r="S213" i="1" s="1"/>
  <c r="BJ213" i="1" s="1"/>
  <c r="H3117" i="1"/>
  <c r="I3117" i="1"/>
  <c r="S190" i="1" s="1"/>
  <c r="BJ190" i="1" s="1"/>
  <c r="J3117" i="1"/>
  <c r="S167" i="1" s="1"/>
  <c r="BJ167" i="1" s="1"/>
  <c r="K3117" i="1"/>
  <c r="S144" i="1" s="1"/>
  <c r="BJ144" i="1" s="1"/>
  <c r="L3117" i="1"/>
  <c r="M3117" i="1"/>
  <c r="V121" i="1" s="1"/>
  <c r="D3112" i="1"/>
  <c r="D3113" i="1"/>
  <c r="D3114" i="1"/>
  <c r="D3115" i="1"/>
  <c r="D3116" i="1"/>
  <c r="D3117" i="1"/>
  <c r="D3110" i="1"/>
  <c r="BM122" i="1" l="1"/>
  <c r="BM125" i="1"/>
  <c r="BN125" i="1"/>
  <c r="BM121" i="1"/>
  <c r="BM117" i="1"/>
  <c r="J477" i="1"/>
  <c r="E477" i="1"/>
  <c r="M477" i="1"/>
  <c r="F477" i="1"/>
  <c r="G477" i="1"/>
  <c r="H477" i="1"/>
  <c r="L477" i="1"/>
  <c r="K477" i="1"/>
  <c r="I477" i="1"/>
  <c r="M3085" i="1"/>
  <c r="M405" i="1" s="1"/>
  <c r="S196" i="1"/>
  <c r="BJ196" i="1" s="1"/>
  <c r="W127" i="1"/>
  <c r="T219" i="1"/>
  <c r="BK219" i="1" s="1"/>
  <c r="S219" i="1"/>
  <c r="BJ219" i="1" s="1"/>
  <c r="S150" i="1"/>
  <c r="S173" i="1"/>
  <c r="F285" i="1"/>
  <c r="W117" i="1"/>
  <c r="T196" i="1"/>
  <c r="BK196" i="1" s="1"/>
  <c r="V127" i="1"/>
  <c r="T150" i="1"/>
  <c r="H285" i="1"/>
  <c r="H303" i="1" s="1"/>
  <c r="W122" i="1"/>
  <c r="T173" i="1"/>
  <c r="G285" i="1"/>
  <c r="G303" i="1" s="1"/>
  <c r="W121" i="1"/>
  <c r="F106" i="1"/>
  <c r="E106" i="1"/>
  <c r="I106" i="1"/>
  <c r="H107" i="1"/>
  <c r="G106" i="1"/>
  <c r="I107" i="1"/>
  <c r="F107" i="1"/>
  <c r="K107" i="1"/>
  <c r="H106" i="1"/>
  <c r="L106" i="1"/>
  <c r="G107" i="1"/>
  <c r="K106" i="1"/>
  <c r="E107" i="1"/>
  <c r="M107" i="1"/>
  <c r="J107" i="1"/>
  <c r="M106" i="1"/>
  <c r="L107" i="1"/>
  <c r="J106" i="1"/>
  <c r="M3095" i="1"/>
  <c r="M3094" i="1"/>
  <c r="BN121" i="1" l="1"/>
  <c r="BN117" i="1"/>
  <c r="T175" i="1"/>
  <c r="BK173" i="1"/>
  <c r="S152" i="1"/>
  <c r="BJ150" i="1"/>
  <c r="V129" i="1"/>
  <c r="BM127" i="1"/>
  <c r="BN122" i="1"/>
  <c r="BN127" i="1"/>
  <c r="S175" i="1"/>
  <c r="BJ173" i="1"/>
  <c r="T152" i="1"/>
  <c r="BK150" i="1"/>
  <c r="S221" i="1"/>
  <c r="I264" i="1"/>
  <c r="I302" i="1" s="1"/>
  <c r="S198" i="1"/>
  <c r="W129" i="1"/>
  <c r="T198" i="1"/>
  <c r="T221" i="1"/>
  <c r="M2738" i="1"/>
  <c r="M352" i="1" s="1"/>
  <c r="M2712" i="1"/>
  <c r="M2692" i="1"/>
  <c r="M2676" i="1"/>
  <c r="M2675" i="1"/>
  <c r="M2674" i="1"/>
  <c r="M2671" i="1"/>
  <c r="M2670" i="1"/>
  <c r="M2669" i="1"/>
  <c r="M2668" i="1"/>
  <c r="M2667" i="1"/>
  <c r="U122" i="1" s="1"/>
  <c r="M2666" i="1"/>
  <c r="U121" i="1" s="1"/>
  <c r="M2665" i="1"/>
  <c r="U125" i="1" s="1"/>
  <c r="BL125" i="1" s="1"/>
  <c r="M2664" i="1"/>
  <c r="U124" i="1" s="1"/>
  <c r="BL124" i="1" s="1"/>
  <c r="M2663" i="1"/>
  <c r="M2662" i="1"/>
  <c r="M2661" i="1"/>
  <c r="U118" i="1" s="1"/>
  <c r="M2660" i="1"/>
  <c r="U120" i="1" s="1"/>
  <c r="M2659" i="1"/>
  <c r="I2943" i="1"/>
  <c r="H2943" i="1"/>
  <c r="I2942" i="1"/>
  <c r="H2942" i="1"/>
  <c r="I2940" i="1"/>
  <c r="H2940" i="1"/>
  <c r="I2939" i="1"/>
  <c r="H2939" i="1"/>
  <c r="I2938" i="1"/>
  <c r="H2938" i="1"/>
  <c r="I2937" i="1"/>
  <c r="H2937" i="1"/>
  <c r="I2936" i="1"/>
  <c r="H2936" i="1"/>
  <c r="I2935" i="1"/>
  <c r="H2935" i="1"/>
  <c r="I2934" i="1"/>
  <c r="H2934" i="1"/>
  <c r="I2933" i="1"/>
  <c r="H2933" i="1"/>
  <c r="I2932" i="1"/>
  <c r="H2932" i="1"/>
  <c r="I2931" i="1"/>
  <c r="H2931" i="1"/>
  <c r="I2930" i="1"/>
  <c r="H2930" i="1"/>
  <c r="I2929" i="1"/>
  <c r="H2929" i="1"/>
  <c r="I2928" i="1"/>
  <c r="H2928" i="1"/>
  <c r="L2943" i="1"/>
  <c r="K2943" i="1"/>
  <c r="L2942" i="1"/>
  <c r="K2942" i="1"/>
  <c r="L2940" i="1"/>
  <c r="K2940" i="1"/>
  <c r="L2939" i="1"/>
  <c r="K2939" i="1"/>
  <c r="L2938" i="1"/>
  <c r="K2938" i="1"/>
  <c r="L2937" i="1"/>
  <c r="K2937" i="1"/>
  <c r="L2936" i="1"/>
  <c r="K2936" i="1"/>
  <c r="L2935" i="1"/>
  <c r="K2935" i="1"/>
  <c r="L2934" i="1"/>
  <c r="K2934" i="1"/>
  <c r="L2933" i="1"/>
  <c r="K2933" i="1"/>
  <c r="L2932" i="1"/>
  <c r="K2932" i="1"/>
  <c r="L2931" i="1"/>
  <c r="K2931" i="1"/>
  <c r="L2930" i="1"/>
  <c r="K2930" i="1"/>
  <c r="L2929" i="1"/>
  <c r="K2929" i="1"/>
  <c r="L2928" i="1"/>
  <c r="K2928" i="1"/>
  <c r="M2944" i="1"/>
  <c r="AG245" i="1" s="1"/>
  <c r="J2944" i="1"/>
  <c r="G2944" i="1"/>
  <c r="E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K2920" i="1"/>
  <c r="L2920" i="1"/>
  <c r="K2921" i="1"/>
  <c r="L2921" i="1"/>
  <c r="G2922" i="1"/>
  <c r="J2922" i="1"/>
  <c r="M2922" i="1"/>
  <c r="AF245" i="1" s="1"/>
  <c r="E2922" i="1"/>
  <c r="H2907" i="1"/>
  <c r="I2907" i="1"/>
  <c r="H2908" i="1"/>
  <c r="I2908" i="1"/>
  <c r="H2909" i="1"/>
  <c r="I2909" i="1"/>
  <c r="H2910" i="1"/>
  <c r="I2910" i="1"/>
  <c r="H2911" i="1"/>
  <c r="I2911" i="1"/>
  <c r="H2912" i="1"/>
  <c r="I2912" i="1"/>
  <c r="H2913" i="1"/>
  <c r="I2913" i="1"/>
  <c r="H2914" i="1"/>
  <c r="I2914" i="1"/>
  <c r="H2915" i="1"/>
  <c r="I2915" i="1"/>
  <c r="H2916" i="1"/>
  <c r="I2916" i="1"/>
  <c r="H2917" i="1"/>
  <c r="I2917" i="1"/>
  <c r="H2918" i="1"/>
  <c r="I2918" i="1"/>
  <c r="H2920" i="1"/>
  <c r="I2920" i="1"/>
  <c r="H2921" i="1"/>
  <c r="I2921" i="1"/>
  <c r="I2906" i="1"/>
  <c r="H2906" i="1"/>
  <c r="L2918" i="1"/>
  <c r="K2918" i="1"/>
  <c r="L2917" i="1"/>
  <c r="K2917" i="1"/>
  <c r="L2916" i="1"/>
  <c r="K2916" i="1"/>
  <c r="L2915" i="1"/>
  <c r="K2915" i="1"/>
  <c r="L2914" i="1"/>
  <c r="K2914" i="1"/>
  <c r="L2913" i="1"/>
  <c r="K2913" i="1"/>
  <c r="L2912" i="1"/>
  <c r="K2912" i="1"/>
  <c r="L2911" i="1"/>
  <c r="K2911" i="1"/>
  <c r="L2910" i="1"/>
  <c r="K2910" i="1"/>
  <c r="L2909" i="1"/>
  <c r="K2909" i="1"/>
  <c r="L2908" i="1"/>
  <c r="K2908" i="1"/>
  <c r="L2907" i="1"/>
  <c r="K2907" i="1"/>
  <c r="L2906" i="1"/>
  <c r="K2906" i="1"/>
  <c r="BL120" i="1" l="1"/>
  <c r="BL121" i="1"/>
  <c r="BL118" i="1"/>
  <c r="BL122" i="1"/>
  <c r="AF246" i="1"/>
  <c r="M2713" i="1"/>
  <c r="M2717" i="1" s="1"/>
  <c r="AE245" i="1"/>
  <c r="M2693" i="1"/>
  <c r="M2697" i="1" s="1"/>
  <c r="AD245" i="1"/>
  <c r="K2946" i="1"/>
  <c r="I2946" i="1"/>
  <c r="L2946" i="1"/>
  <c r="H2946" i="1"/>
  <c r="F2946" i="1"/>
  <c r="I2924" i="1"/>
  <c r="H2924" i="1"/>
  <c r="F2924" i="1"/>
  <c r="L2924" i="1"/>
  <c r="K2924" i="1"/>
  <c r="U127" i="1"/>
  <c r="U119" i="1"/>
  <c r="BL119" i="1" s="1"/>
  <c r="I2923" i="1"/>
  <c r="H2945" i="1"/>
  <c r="K2923" i="1"/>
  <c r="L2923" i="1"/>
  <c r="K2945" i="1"/>
  <c r="L2945" i="1"/>
  <c r="I2945" i="1"/>
  <c r="F2945" i="1"/>
  <c r="H2923" i="1"/>
  <c r="F2923" i="1"/>
  <c r="I2944" i="1"/>
  <c r="L2922" i="1"/>
  <c r="H2922" i="1"/>
  <c r="K2922" i="1"/>
  <c r="K2944" i="1"/>
  <c r="H2944" i="1"/>
  <c r="L2944" i="1"/>
  <c r="F2922" i="1"/>
  <c r="F2944" i="1"/>
  <c r="M2672" i="1"/>
  <c r="U128" i="1" s="1"/>
  <c r="I2922" i="1"/>
  <c r="K3063" i="1"/>
  <c r="L3063" i="1"/>
  <c r="K3061" i="1"/>
  <c r="L3061" i="1"/>
  <c r="K3064" i="1"/>
  <c r="L3064" i="1"/>
  <c r="K3065" i="1"/>
  <c r="L3065" i="1"/>
  <c r="K3066" i="1"/>
  <c r="L3066" i="1"/>
  <c r="K3067" i="1"/>
  <c r="L3067" i="1"/>
  <c r="K3068" i="1"/>
  <c r="L3068" i="1"/>
  <c r="K3069" i="1"/>
  <c r="L3069" i="1"/>
  <c r="L3062" i="1"/>
  <c r="K3062" i="1"/>
  <c r="I3063" i="1"/>
  <c r="I3061" i="1"/>
  <c r="I3064" i="1"/>
  <c r="I3065" i="1"/>
  <c r="I3066" i="1"/>
  <c r="I3067" i="1"/>
  <c r="I3068" i="1"/>
  <c r="I3069" i="1"/>
  <c r="I3062" i="1"/>
  <c r="L2877" i="1"/>
  <c r="K2877" i="1"/>
  <c r="L2876" i="1"/>
  <c r="K2876" i="1"/>
  <c r="L2875" i="1"/>
  <c r="K2875" i="1"/>
  <c r="L2874" i="1"/>
  <c r="K2874" i="1"/>
  <c r="L2873" i="1"/>
  <c r="K2873" i="1"/>
  <c r="L2872" i="1"/>
  <c r="K2872" i="1"/>
  <c r="W141" i="1" s="1"/>
  <c r="BR141" i="1" s="1"/>
  <c r="L2871" i="1"/>
  <c r="K2871" i="1"/>
  <c r="L2870" i="1"/>
  <c r="K2870" i="1"/>
  <c r="L2869" i="1"/>
  <c r="K2869" i="1"/>
  <c r="W145" i="1" s="1"/>
  <c r="BR145" i="1" s="1"/>
  <c r="L2868" i="1"/>
  <c r="K2868" i="1"/>
  <c r="W144" i="1" s="1"/>
  <c r="BR144" i="1" s="1"/>
  <c r="L2867" i="1"/>
  <c r="K2867" i="1"/>
  <c r="W147" i="1" s="1"/>
  <c r="BR147" i="1" s="1"/>
  <c r="L2866" i="1"/>
  <c r="K2866" i="1"/>
  <c r="L2865" i="1"/>
  <c r="K2865" i="1"/>
  <c r="W143" i="1" s="1"/>
  <c r="BR143" i="1" s="1"/>
  <c r="L2864" i="1"/>
  <c r="K2864" i="1"/>
  <c r="L2863" i="1"/>
  <c r="K2863" i="1"/>
  <c r="L2862" i="1"/>
  <c r="K2862" i="1"/>
  <c r="L2855" i="1"/>
  <c r="K2855" i="1"/>
  <c r="L2854" i="1"/>
  <c r="K2854" i="1"/>
  <c r="L2853" i="1"/>
  <c r="K2853" i="1"/>
  <c r="L2852" i="1"/>
  <c r="K2852" i="1"/>
  <c r="L2851" i="1"/>
  <c r="K2851" i="1"/>
  <c r="L2850" i="1"/>
  <c r="K2850" i="1"/>
  <c r="V141" i="1" s="1"/>
  <c r="BO141" i="1" s="1"/>
  <c r="L2849" i="1"/>
  <c r="K2849" i="1"/>
  <c r="L2848" i="1"/>
  <c r="K2848" i="1"/>
  <c r="L2847" i="1"/>
  <c r="K2847" i="1"/>
  <c r="V145" i="1" s="1"/>
  <c r="BO145" i="1" s="1"/>
  <c r="L2846" i="1"/>
  <c r="K2846" i="1"/>
  <c r="V144" i="1" s="1"/>
  <c r="BO144" i="1" s="1"/>
  <c r="L2845" i="1"/>
  <c r="K2845" i="1"/>
  <c r="V147" i="1" s="1"/>
  <c r="BO147" i="1" s="1"/>
  <c r="L2844" i="1"/>
  <c r="K2844" i="1"/>
  <c r="L2843" i="1"/>
  <c r="K2843" i="1"/>
  <c r="V143" i="1" s="1"/>
  <c r="BO143" i="1" s="1"/>
  <c r="L2842" i="1"/>
  <c r="K2842" i="1"/>
  <c r="L2841" i="1"/>
  <c r="K2841" i="1"/>
  <c r="L2840" i="1"/>
  <c r="K2840" i="1"/>
  <c r="L2833" i="1"/>
  <c r="K2833" i="1"/>
  <c r="L2832" i="1"/>
  <c r="K2832" i="1"/>
  <c r="L2831" i="1"/>
  <c r="K2831" i="1"/>
  <c r="L2830" i="1"/>
  <c r="K2830" i="1"/>
  <c r="L2829" i="1"/>
  <c r="K2829" i="1"/>
  <c r="L2828" i="1"/>
  <c r="K2828" i="1"/>
  <c r="U141" i="1" s="1"/>
  <c r="BL141" i="1" s="1"/>
  <c r="L2827" i="1"/>
  <c r="K2827" i="1"/>
  <c r="L2826" i="1"/>
  <c r="K2826" i="1"/>
  <c r="L2825" i="1"/>
  <c r="K2825" i="1"/>
  <c r="U145" i="1" s="1"/>
  <c r="BL145" i="1" s="1"/>
  <c r="L2824" i="1"/>
  <c r="K2824" i="1"/>
  <c r="U144" i="1" s="1"/>
  <c r="BL144" i="1" s="1"/>
  <c r="L2823" i="1"/>
  <c r="K2823" i="1"/>
  <c r="U147" i="1" s="1"/>
  <c r="BL147" i="1" s="1"/>
  <c r="L2822" i="1"/>
  <c r="K2822" i="1"/>
  <c r="L2821" i="1"/>
  <c r="K2821" i="1"/>
  <c r="U143" i="1" s="1"/>
  <c r="BL143" i="1" s="1"/>
  <c r="L2820" i="1"/>
  <c r="K2820" i="1"/>
  <c r="L2819" i="1"/>
  <c r="K2819" i="1"/>
  <c r="L2818" i="1"/>
  <c r="K2818" i="1"/>
  <c r="L3053" i="1"/>
  <c r="K3053" i="1"/>
  <c r="L3052" i="1"/>
  <c r="K3052" i="1"/>
  <c r="L3051" i="1"/>
  <c r="K3051" i="1"/>
  <c r="L3050" i="1"/>
  <c r="K3050" i="1"/>
  <c r="L3049" i="1"/>
  <c r="K3049" i="1"/>
  <c r="L3048" i="1"/>
  <c r="K3048" i="1"/>
  <c r="AC141" i="1" s="1"/>
  <c r="L3047" i="1"/>
  <c r="K3047" i="1"/>
  <c r="L3046" i="1"/>
  <c r="K3046" i="1"/>
  <c r="L3045" i="1"/>
  <c r="K3045" i="1"/>
  <c r="AC145" i="1" s="1"/>
  <c r="L3044" i="1"/>
  <c r="K3044" i="1"/>
  <c r="AC144" i="1" s="1"/>
  <c r="L3043" i="1"/>
  <c r="K3043" i="1"/>
  <c r="AC147" i="1" s="1"/>
  <c r="L3042" i="1"/>
  <c r="K3042" i="1"/>
  <c r="L3041" i="1"/>
  <c r="K3041" i="1"/>
  <c r="AC143" i="1" s="1"/>
  <c r="L3040" i="1"/>
  <c r="K3040" i="1"/>
  <c r="L3039" i="1"/>
  <c r="K3039" i="1"/>
  <c r="L3038" i="1"/>
  <c r="K3038" i="1"/>
  <c r="L3031" i="1"/>
  <c r="K3031" i="1"/>
  <c r="L3030" i="1"/>
  <c r="K3030" i="1"/>
  <c r="L3029" i="1"/>
  <c r="K3029" i="1"/>
  <c r="L3028" i="1"/>
  <c r="K3028" i="1"/>
  <c r="L3027" i="1"/>
  <c r="K3027" i="1"/>
  <c r="L3026" i="1"/>
  <c r="K3026" i="1"/>
  <c r="AB141" i="1" s="1"/>
  <c r="BQ141" i="1" s="1"/>
  <c r="L3025" i="1"/>
  <c r="K3025" i="1"/>
  <c r="L3024" i="1"/>
  <c r="K3024" i="1"/>
  <c r="L3023" i="1"/>
  <c r="K3023" i="1"/>
  <c r="AB145" i="1" s="1"/>
  <c r="BQ145" i="1" s="1"/>
  <c r="L3022" i="1"/>
  <c r="K3022" i="1"/>
  <c r="AB144" i="1" s="1"/>
  <c r="BQ144" i="1" s="1"/>
  <c r="L3021" i="1"/>
  <c r="K3021" i="1"/>
  <c r="AB147" i="1" s="1"/>
  <c r="BQ147" i="1" s="1"/>
  <c r="L3020" i="1"/>
  <c r="K3020" i="1"/>
  <c r="L3019" i="1"/>
  <c r="K3019" i="1"/>
  <c r="AB143" i="1" s="1"/>
  <c r="BQ143" i="1" s="1"/>
  <c r="L3018" i="1"/>
  <c r="K3018" i="1"/>
  <c r="L3017" i="1"/>
  <c r="K3017" i="1"/>
  <c r="L3016" i="1"/>
  <c r="K3016" i="1"/>
  <c r="L3009" i="1"/>
  <c r="K3009" i="1"/>
  <c r="L3008" i="1"/>
  <c r="K3008" i="1"/>
  <c r="L3007" i="1"/>
  <c r="K3007" i="1"/>
  <c r="L3006" i="1"/>
  <c r="K3006" i="1"/>
  <c r="L3005" i="1"/>
  <c r="K3005" i="1"/>
  <c r="L3004" i="1"/>
  <c r="K3004" i="1"/>
  <c r="AA141" i="1" s="1"/>
  <c r="BN141" i="1" s="1"/>
  <c r="L3003" i="1"/>
  <c r="K3003" i="1"/>
  <c r="L3002" i="1"/>
  <c r="K3002" i="1"/>
  <c r="L3001" i="1"/>
  <c r="K3001" i="1"/>
  <c r="AA145" i="1" s="1"/>
  <c r="BN145" i="1" s="1"/>
  <c r="L3000" i="1"/>
  <c r="K3000" i="1"/>
  <c r="AA144" i="1" s="1"/>
  <c r="BN144" i="1" s="1"/>
  <c r="L2999" i="1"/>
  <c r="K2999" i="1"/>
  <c r="AA147" i="1" s="1"/>
  <c r="BN147" i="1" s="1"/>
  <c r="L2998" i="1"/>
  <c r="K2998" i="1"/>
  <c r="L2997" i="1"/>
  <c r="K2997" i="1"/>
  <c r="AA143" i="1" s="1"/>
  <c r="BN143" i="1" s="1"/>
  <c r="L2996" i="1"/>
  <c r="K2996" i="1"/>
  <c r="L2995" i="1"/>
  <c r="K2995" i="1"/>
  <c r="L2994" i="1"/>
  <c r="K2994" i="1"/>
  <c r="L2987" i="1"/>
  <c r="K2987" i="1"/>
  <c r="L2986" i="1"/>
  <c r="K2986" i="1"/>
  <c r="L2985" i="1"/>
  <c r="K2985" i="1"/>
  <c r="L2984" i="1"/>
  <c r="K2984" i="1"/>
  <c r="L2983" i="1"/>
  <c r="K2983" i="1"/>
  <c r="L2982" i="1"/>
  <c r="K2982" i="1"/>
  <c r="Z141" i="1" s="1"/>
  <c r="L2981" i="1"/>
  <c r="K2981" i="1"/>
  <c r="L2980" i="1"/>
  <c r="K2980" i="1"/>
  <c r="L2979" i="1"/>
  <c r="K2979" i="1"/>
  <c r="Z145" i="1" s="1"/>
  <c r="L2978" i="1"/>
  <c r="K2978" i="1"/>
  <c r="Z144" i="1" s="1"/>
  <c r="L2977" i="1"/>
  <c r="K2977" i="1"/>
  <c r="Z147" i="1" s="1"/>
  <c r="L2976" i="1"/>
  <c r="K2976" i="1"/>
  <c r="L2975" i="1"/>
  <c r="K2975" i="1"/>
  <c r="Z143" i="1" s="1"/>
  <c r="L2974" i="1"/>
  <c r="K2974" i="1"/>
  <c r="L2973" i="1"/>
  <c r="K2973" i="1"/>
  <c r="L2972" i="1"/>
  <c r="K2972" i="1"/>
  <c r="L2965" i="1"/>
  <c r="K2965" i="1"/>
  <c r="L2964" i="1"/>
  <c r="K2964" i="1"/>
  <c r="L2963" i="1"/>
  <c r="K2963" i="1"/>
  <c r="L2962" i="1"/>
  <c r="K2962" i="1"/>
  <c r="L2961" i="1"/>
  <c r="K2961" i="1"/>
  <c r="L2960" i="1"/>
  <c r="K2960" i="1"/>
  <c r="Y141" i="1" s="1"/>
  <c r="BP141" i="1" s="1"/>
  <c r="L2959" i="1"/>
  <c r="K2959" i="1"/>
  <c r="L2958" i="1"/>
  <c r="K2958" i="1"/>
  <c r="L2957" i="1"/>
  <c r="K2957" i="1"/>
  <c r="Y145" i="1" s="1"/>
  <c r="BP145" i="1" s="1"/>
  <c r="L2956" i="1"/>
  <c r="K2956" i="1"/>
  <c r="Y144" i="1" s="1"/>
  <c r="BP144" i="1" s="1"/>
  <c r="L2955" i="1"/>
  <c r="K2955" i="1"/>
  <c r="Y147" i="1" s="1"/>
  <c r="BP147" i="1" s="1"/>
  <c r="L2954" i="1"/>
  <c r="K2954" i="1"/>
  <c r="L2953" i="1"/>
  <c r="K2953" i="1"/>
  <c r="Y143" i="1" s="1"/>
  <c r="BP143" i="1" s="1"/>
  <c r="L2952" i="1"/>
  <c r="K2952" i="1"/>
  <c r="L2951" i="1"/>
  <c r="K2951" i="1"/>
  <c r="L2950" i="1"/>
  <c r="K2950" i="1"/>
  <c r="K2885" i="1"/>
  <c r="L2885" i="1"/>
  <c r="K2886" i="1"/>
  <c r="L2886" i="1"/>
  <c r="K2887" i="1"/>
  <c r="X143" i="1" s="1"/>
  <c r="BM143" i="1" s="1"/>
  <c r="L2887" i="1"/>
  <c r="K2888" i="1"/>
  <c r="L2888" i="1"/>
  <c r="K2889" i="1"/>
  <c r="X147" i="1" s="1"/>
  <c r="BM147" i="1" s="1"/>
  <c r="L2889" i="1"/>
  <c r="K2890" i="1"/>
  <c r="X144" i="1" s="1"/>
  <c r="BM144" i="1" s="1"/>
  <c r="L2890" i="1"/>
  <c r="K2891" i="1"/>
  <c r="X145" i="1" s="1"/>
  <c r="BM145" i="1" s="1"/>
  <c r="L2891" i="1"/>
  <c r="K2892" i="1"/>
  <c r="L2892" i="1"/>
  <c r="K2893" i="1"/>
  <c r="L2893" i="1"/>
  <c r="K2894" i="1"/>
  <c r="X141" i="1" s="1"/>
  <c r="BM141" i="1" s="1"/>
  <c r="L2894" i="1"/>
  <c r="K2895" i="1"/>
  <c r="L2895" i="1"/>
  <c r="K2896" i="1"/>
  <c r="L2896" i="1"/>
  <c r="K2897" i="1"/>
  <c r="L2897" i="1"/>
  <c r="K2898" i="1"/>
  <c r="L2898" i="1"/>
  <c r="K2899" i="1"/>
  <c r="L2899" i="1"/>
  <c r="L2884" i="1"/>
  <c r="K2884" i="1"/>
  <c r="I2877" i="1"/>
  <c r="I2876" i="1"/>
  <c r="I2875" i="1"/>
  <c r="I2874" i="1"/>
  <c r="I2873" i="1"/>
  <c r="I2872" i="1"/>
  <c r="W187" i="1" s="1"/>
  <c r="BR187" i="1" s="1"/>
  <c r="I2871" i="1"/>
  <c r="I2870" i="1"/>
  <c r="I2869" i="1"/>
  <c r="W191" i="1" s="1"/>
  <c r="BR191" i="1" s="1"/>
  <c r="I2868" i="1"/>
  <c r="W190" i="1" s="1"/>
  <c r="BR190" i="1" s="1"/>
  <c r="I2867" i="1"/>
  <c r="W193" i="1" s="1"/>
  <c r="BR193" i="1" s="1"/>
  <c r="I2866" i="1"/>
  <c r="I2865" i="1"/>
  <c r="W189" i="1" s="1"/>
  <c r="BR189" i="1" s="1"/>
  <c r="I2864" i="1"/>
  <c r="I2863" i="1"/>
  <c r="I2862" i="1"/>
  <c r="I2855" i="1"/>
  <c r="I2854" i="1"/>
  <c r="I2853" i="1"/>
  <c r="I2852" i="1"/>
  <c r="I2851" i="1"/>
  <c r="I2850" i="1"/>
  <c r="V187" i="1" s="1"/>
  <c r="BO187" i="1" s="1"/>
  <c r="I2849" i="1"/>
  <c r="I2848" i="1"/>
  <c r="I2847" i="1"/>
  <c r="V191" i="1" s="1"/>
  <c r="BO191" i="1" s="1"/>
  <c r="I2846" i="1"/>
  <c r="V190" i="1" s="1"/>
  <c r="BO190" i="1" s="1"/>
  <c r="I2845" i="1"/>
  <c r="V193" i="1" s="1"/>
  <c r="BO193" i="1" s="1"/>
  <c r="I2844" i="1"/>
  <c r="I2843" i="1"/>
  <c r="V189" i="1" s="1"/>
  <c r="BO189" i="1" s="1"/>
  <c r="I2842" i="1"/>
  <c r="I2841" i="1"/>
  <c r="I2840" i="1"/>
  <c r="I2833" i="1"/>
  <c r="I2832" i="1"/>
  <c r="I2831" i="1"/>
  <c r="I2830" i="1"/>
  <c r="I2829" i="1"/>
  <c r="I2828" i="1"/>
  <c r="U187" i="1" s="1"/>
  <c r="BL187" i="1" s="1"/>
  <c r="I2827" i="1"/>
  <c r="I2826" i="1"/>
  <c r="I2825" i="1"/>
  <c r="U191" i="1" s="1"/>
  <c r="BL191" i="1" s="1"/>
  <c r="I2824" i="1"/>
  <c r="U190" i="1" s="1"/>
  <c r="BL190" i="1" s="1"/>
  <c r="I2823" i="1"/>
  <c r="U193" i="1" s="1"/>
  <c r="BL193" i="1" s="1"/>
  <c r="I2822" i="1"/>
  <c r="I2821" i="1"/>
  <c r="U189" i="1" s="1"/>
  <c r="BL189" i="1" s="1"/>
  <c r="I2820" i="1"/>
  <c r="I2819" i="1"/>
  <c r="I2818" i="1"/>
  <c r="I3053" i="1"/>
  <c r="I3052" i="1"/>
  <c r="I3051" i="1"/>
  <c r="I3050" i="1"/>
  <c r="I3049" i="1"/>
  <c r="I3048" i="1"/>
  <c r="AC187" i="1" s="1"/>
  <c r="I3047" i="1"/>
  <c r="I3046" i="1"/>
  <c r="I3045" i="1"/>
  <c r="AC191" i="1" s="1"/>
  <c r="I3044" i="1"/>
  <c r="AC190" i="1" s="1"/>
  <c r="I3043" i="1"/>
  <c r="AC193" i="1" s="1"/>
  <c r="I3042" i="1"/>
  <c r="I3041" i="1"/>
  <c r="AC189" i="1" s="1"/>
  <c r="I3040" i="1"/>
  <c r="I3039" i="1"/>
  <c r="I3038" i="1"/>
  <c r="I3031" i="1"/>
  <c r="I3030" i="1"/>
  <c r="I3029" i="1"/>
  <c r="I3028" i="1"/>
  <c r="I3027" i="1"/>
  <c r="I3026" i="1"/>
  <c r="AB187" i="1" s="1"/>
  <c r="BQ187" i="1" s="1"/>
  <c r="I3025" i="1"/>
  <c r="I3024" i="1"/>
  <c r="I3023" i="1"/>
  <c r="AB191" i="1" s="1"/>
  <c r="BQ191" i="1" s="1"/>
  <c r="I3022" i="1"/>
  <c r="AB190" i="1" s="1"/>
  <c r="BQ190" i="1" s="1"/>
  <c r="I3021" i="1"/>
  <c r="AB193" i="1" s="1"/>
  <c r="BQ193" i="1" s="1"/>
  <c r="I3020" i="1"/>
  <c r="I3019" i="1"/>
  <c r="AB189" i="1" s="1"/>
  <c r="BQ189" i="1" s="1"/>
  <c r="I3018" i="1"/>
  <c r="I3017" i="1"/>
  <c r="I3016" i="1"/>
  <c r="I3009" i="1"/>
  <c r="I3008" i="1"/>
  <c r="I3007" i="1"/>
  <c r="I3006" i="1"/>
  <c r="I3005" i="1"/>
  <c r="I3004" i="1"/>
  <c r="AA187" i="1" s="1"/>
  <c r="BN187" i="1" s="1"/>
  <c r="I3003" i="1"/>
  <c r="I3002" i="1"/>
  <c r="I3001" i="1"/>
  <c r="AA191" i="1" s="1"/>
  <c r="BN191" i="1" s="1"/>
  <c r="I3000" i="1"/>
  <c r="AA190" i="1" s="1"/>
  <c r="BN190" i="1" s="1"/>
  <c r="I2999" i="1"/>
  <c r="AA193" i="1" s="1"/>
  <c r="BN193" i="1" s="1"/>
  <c r="I2998" i="1"/>
  <c r="I2997" i="1"/>
  <c r="AA189" i="1" s="1"/>
  <c r="BN189" i="1" s="1"/>
  <c r="I2996" i="1"/>
  <c r="I2995" i="1"/>
  <c r="I2994" i="1"/>
  <c r="I2987" i="1"/>
  <c r="I2986" i="1"/>
  <c r="I2985" i="1"/>
  <c r="I2984" i="1"/>
  <c r="I2983" i="1"/>
  <c r="I2982" i="1"/>
  <c r="Z187" i="1" s="1"/>
  <c r="I2981" i="1"/>
  <c r="I2980" i="1"/>
  <c r="I2979" i="1"/>
  <c r="Z191" i="1" s="1"/>
  <c r="I2978" i="1"/>
  <c r="Z190" i="1" s="1"/>
  <c r="I2977" i="1"/>
  <c r="Z193" i="1" s="1"/>
  <c r="I2976" i="1"/>
  <c r="I2975" i="1"/>
  <c r="Z189" i="1" s="1"/>
  <c r="I2974" i="1"/>
  <c r="I2973" i="1"/>
  <c r="I2972" i="1"/>
  <c r="I2965" i="1"/>
  <c r="I2964" i="1"/>
  <c r="I2963" i="1"/>
  <c r="I2962" i="1"/>
  <c r="I2961" i="1"/>
  <c r="I2960" i="1"/>
  <c r="Y187" i="1" s="1"/>
  <c r="BP187" i="1" s="1"/>
  <c r="I2959" i="1"/>
  <c r="I2958" i="1"/>
  <c r="I2957" i="1"/>
  <c r="Y191" i="1" s="1"/>
  <c r="BP191" i="1" s="1"/>
  <c r="I2956" i="1"/>
  <c r="Y190" i="1" s="1"/>
  <c r="BP190" i="1" s="1"/>
  <c r="I2955" i="1"/>
  <c r="Y193" i="1" s="1"/>
  <c r="BP193" i="1" s="1"/>
  <c r="I2954" i="1"/>
  <c r="I2953" i="1"/>
  <c r="Y189" i="1" s="1"/>
  <c r="BP189" i="1" s="1"/>
  <c r="I2952" i="1"/>
  <c r="I2951" i="1"/>
  <c r="I2950" i="1"/>
  <c r="I2885" i="1"/>
  <c r="I2886" i="1"/>
  <c r="I2887" i="1"/>
  <c r="X189" i="1" s="1"/>
  <c r="BM189" i="1" s="1"/>
  <c r="I2888" i="1"/>
  <c r="I2889" i="1"/>
  <c r="X193" i="1" s="1"/>
  <c r="BM193" i="1" s="1"/>
  <c r="I2890" i="1"/>
  <c r="X190" i="1" s="1"/>
  <c r="BM190" i="1" s="1"/>
  <c r="I2891" i="1"/>
  <c r="X191" i="1" s="1"/>
  <c r="BM191" i="1" s="1"/>
  <c r="I2892" i="1"/>
  <c r="I2893" i="1"/>
  <c r="I2894" i="1"/>
  <c r="X187" i="1" s="1"/>
  <c r="BM187" i="1" s="1"/>
  <c r="I2895" i="1"/>
  <c r="I2896" i="1"/>
  <c r="I2897" i="1"/>
  <c r="I2898" i="1"/>
  <c r="I2899" i="1"/>
  <c r="I2884" i="1"/>
  <c r="M2878" i="1"/>
  <c r="Z128" i="1" s="1"/>
  <c r="J2878" i="1"/>
  <c r="W174" i="1" s="1"/>
  <c r="BR174" i="1" s="1"/>
  <c r="H2878" i="1"/>
  <c r="G2878" i="1"/>
  <c r="W220" i="1" s="1"/>
  <c r="BR220" i="1" s="1"/>
  <c r="F2878" i="1"/>
  <c r="E2878" i="1"/>
  <c r="M2856" i="1"/>
  <c r="Y128" i="1" s="1"/>
  <c r="J2856" i="1"/>
  <c r="V174" i="1" s="1"/>
  <c r="BO174" i="1" s="1"/>
  <c r="H2856" i="1"/>
  <c r="G2856" i="1"/>
  <c r="V220" i="1" s="1"/>
  <c r="BO220" i="1" s="1"/>
  <c r="F2856" i="1"/>
  <c r="E2856" i="1"/>
  <c r="M2834" i="1"/>
  <c r="X128" i="1" s="1"/>
  <c r="J2834" i="1"/>
  <c r="U174" i="1" s="1"/>
  <c r="BL174" i="1" s="1"/>
  <c r="H2834" i="1"/>
  <c r="G2834" i="1"/>
  <c r="U220" i="1" s="1"/>
  <c r="BL220" i="1" s="1"/>
  <c r="F2834" i="1"/>
  <c r="E2834" i="1"/>
  <c r="M3054" i="1"/>
  <c r="AF128" i="1" s="1"/>
  <c r="J3054" i="1"/>
  <c r="AC174" i="1" s="1"/>
  <c r="BT174" i="1" s="1"/>
  <c r="H3054" i="1"/>
  <c r="G3054" i="1"/>
  <c r="AC220" i="1" s="1"/>
  <c r="F3054" i="1"/>
  <c r="E3054" i="1"/>
  <c r="M3032" i="1"/>
  <c r="AE128" i="1" s="1"/>
  <c r="J3032" i="1"/>
  <c r="AB174" i="1" s="1"/>
  <c r="BQ174" i="1" s="1"/>
  <c r="H3032" i="1"/>
  <c r="G3032" i="1"/>
  <c r="AB220" i="1" s="1"/>
  <c r="BQ220" i="1" s="1"/>
  <c r="F3032" i="1"/>
  <c r="E3032" i="1"/>
  <c r="M3010" i="1"/>
  <c r="AD128" i="1" s="1"/>
  <c r="J3010" i="1"/>
  <c r="AA174" i="1" s="1"/>
  <c r="BN174" i="1" s="1"/>
  <c r="H3010" i="1"/>
  <c r="G3010" i="1"/>
  <c r="AA220" i="1" s="1"/>
  <c r="BN220" i="1" s="1"/>
  <c r="F3010" i="1"/>
  <c r="E3010" i="1"/>
  <c r="M2988" i="1"/>
  <c r="AC128" i="1" s="1"/>
  <c r="J2988" i="1"/>
  <c r="Z174" i="1" s="1"/>
  <c r="BS174" i="1" s="1"/>
  <c r="H2988" i="1"/>
  <c r="G2988" i="1"/>
  <c r="Z220" i="1" s="1"/>
  <c r="F2988" i="1"/>
  <c r="E2988" i="1"/>
  <c r="M2966" i="1"/>
  <c r="AB128" i="1" s="1"/>
  <c r="J2966" i="1"/>
  <c r="Y174" i="1" s="1"/>
  <c r="BP174" i="1" s="1"/>
  <c r="H2966" i="1"/>
  <c r="G2966" i="1"/>
  <c r="Y220" i="1" s="1"/>
  <c r="BP220" i="1" s="1"/>
  <c r="F2966" i="1"/>
  <c r="E2966" i="1"/>
  <c r="H2900" i="1"/>
  <c r="F2900" i="1"/>
  <c r="G2900" i="1"/>
  <c r="X220" i="1" s="1"/>
  <c r="BM220" i="1" s="1"/>
  <c r="J2900" i="1"/>
  <c r="X174" i="1" s="1"/>
  <c r="BM174" i="1" s="1"/>
  <c r="M2900" i="1"/>
  <c r="AA128" i="1" s="1"/>
  <c r="E2900" i="1"/>
  <c r="M2810" i="1"/>
  <c r="M2809" i="1"/>
  <c r="K2810" i="1"/>
  <c r="K2809" i="1"/>
  <c r="J2810" i="1"/>
  <c r="J2809" i="1"/>
  <c r="I2810" i="1"/>
  <c r="I2809" i="1"/>
  <c r="G2810" i="1"/>
  <c r="G2809" i="1"/>
  <c r="E2810" i="1"/>
  <c r="E2809" i="1"/>
  <c r="BL128" i="1" l="1"/>
  <c r="BL127" i="1"/>
  <c r="BT220" i="1"/>
  <c r="BS220" i="1"/>
  <c r="BT187" i="1"/>
  <c r="BS189" i="1"/>
  <c r="BT189" i="1"/>
  <c r="BS190" i="1"/>
  <c r="BS191" i="1"/>
  <c r="BT191" i="1"/>
  <c r="BS193" i="1"/>
  <c r="BT193" i="1"/>
  <c r="BS187" i="1"/>
  <c r="BT190" i="1"/>
  <c r="BS144" i="1"/>
  <c r="BT141" i="1"/>
  <c r="BS143" i="1"/>
  <c r="BS145" i="1"/>
  <c r="BT143" i="1"/>
  <c r="BT145" i="1"/>
  <c r="BS147" i="1"/>
  <c r="BS141" i="1"/>
  <c r="BT144" i="1"/>
  <c r="BT147" i="1"/>
  <c r="Z175" i="1"/>
  <c r="X175" i="1"/>
  <c r="Y175" i="1"/>
  <c r="AC175" i="1"/>
  <c r="U175" i="1"/>
  <c r="AB175" i="1"/>
  <c r="AA175" i="1"/>
  <c r="V175" i="1"/>
  <c r="W175" i="1"/>
  <c r="BW128" i="1"/>
  <c r="BT128" i="1"/>
  <c r="BQ128" i="1"/>
  <c r="BV128" i="1"/>
  <c r="BS128" i="1"/>
  <c r="BP128" i="1"/>
  <c r="BU128" i="1"/>
  <c r="BR128" i="1"/>
  <c r="BO128" i="1"/>
  <c r="M2677" i="1"/>
  <c r="M2673" i="1"/>
  <c r="M105" i="1" s="1"/>
  <c r="Y142" i="1"/>
  <c r="BP142" i="1" s="1"/>
  <c r="Z142" i="1"/>
  <c r="AA142" i="1"/>
  <c r="BN142" i="1" s="1"/>
  <c r="AB142" i="1"/>
  <c r="BQ142" i="1" s="1"/>
  <c r="AC142" i="1"/>
  <c r="U142" i="1"/>
  <c r="BL142" i="1" s="1"/>
  <c r="V142" i="1"/>
  <c r="BO142" i="1" s="1"/>
  <c r="W142" i="1"/>
  <c r="BR142" i="1" s="1"/>
  <c r="X194" i="1"/>
  <c r="BM194" i="1" s="1"/>
  <c r="Y194" i="1"/>
  <c r="BP194" i="1" s="1"/>
  <c r="Z194" i="1"/>
  <c r="AA194" i="1"/>
  <c r="BN194" i="1" s="1"/>
  <c r="AB194" i="1"/>
  <c r="BQ194" i="1" s="1"/>
  <c r="AC194" i="1"/>
  <c r="U194" i="1"/>
  <c r="BL194" i="1" s="1"/>
  <c r="V194" i="1"/>
  <c r="BO194" i="1" s="1"/>
  <c r="W194" i="1"/>
  <c r="BR194" i="1" s="1"/>
  <c r="X148" i="1"/>
  <c r="BM148" i="1" s="1"/>
  <c r="AD246" i="1"/>
  <c r="AA129" i="1"/>
  <c r="X198" i="1"/>
  <c r="X221" i="1"/>
  <c r="Z221" i="1"/>
  <c r="AC129" i="1"/>
  <c r="Z198" i="1"/>
  <c r="U198" i="1"/>
  <c r="U221" i="1"/>
  <c r="X129" i="1"/>
  <c r="Y188" i="1"/>
  <c r="BP188" i="1" s="1"/>
  <c r="Z188" i="1"/>
  <c r="AA188" i="1"/>
  <c r="BN188" i="1" s="1"/>
  <c r="AB188" i="1"/>
  <c r="BQ188" i="1" s="1"/>
  <c r="AC188" i="1"/>
  <c r="U188" i="1"/>
  <c r="BL188" i="1" s="1"/>
  <c r="V188" i="1"/>
  <c r="BO188" i="1" s="1"/>
  <c r="W188" i="1"/>
  <c r="BR188" i="1" s="1"/>
  <c r="X142" i="1"/>
  <c r="BM142" i="1" s="1"/>
  <c r="X188" i="1"/>
  <c r="BM188" i="1" s="1"/>
  <c r="AE129" i="1"/>
  <c r="AB221" i="1"/>
  <c r="AB198" i="1"/>
  <c r="Z129" i="1"/>
  <c r="W198" i="1"/>
  <c r="W221" i="1"/>
  <c r="AC198" i="1"/>
  <c r="AF129" i="1"/>
  <c r="AC221" i="1"/>
  <c r="X196" i="1"/>
  <c r="BM196" i="1" s="1"/>
  <c r="Y196" i="1"/>
  <c r="BP196" i="1" s="1"/>
  <c r="AB196" i="1"/>
  <c r="BQ196" i="1" s="1"/>
  <c r="AC196" i="1"/>
  <c r="U196" i="1"/>
  <c r="BL196" i="1" s="1"/>
  <c r="W196" i="1"/>
  <c r="BR196" i="1" s="1"/>
  <c r="X150" i="1"/>
  <c r="BM150" i="1" s="1"/>
  <c r="Y150" i="1"/>
  <c r="BP150" i="1" s="1"/>
  <c r="Y148" i="1"/>
  <c r="BP148" i="1" s="1"/>
  <c r="Z150" i="1"/>
  <c r="Z148" i="1"/>
  <c r="AA150" i="1"/>
  <c r="BN150" i="1" s="1"/>
  <c r="AA148" i="1"/>
  <c r="BN148" i="1" s="1"/>
  <c r="AB150" i="1"/>
  <c r="BQ150" i="1" s="1"/>
  <c r="AB148" i="1"/>
  <c r="BQ148" i="1" s="1"/>
  <c r="AC150" i="1"/>
  <c r="AC148" i="1"/>
  <c r="U150" i="1"/>
  <c r="BL150" i="1" s="1"/>
  <c r="U148" i="1"/>
  <c r="BL148" i="1" s="1"/>
  <c r="V150" i="1"/>
  <c r="BO150" i="1" s="1"/>
  <c r="V148" i="1"/>
  <c r="BO148" i="1" s="1"/>
  <c r="W150" i="1"/>
  <c r="BR150" i="1" s="1"/>
  <c r="W148" i="1"/>
  <c r="BR148" i="1" s="1"/>
  <c r="Y221" i="1"/>
  <c r="AB129" i="1"/>
  <c r="Y198" i="1"/>
  <c r="Z196" i="1"/>
  <c r="AA196" i="1"/>
  <c r="BN196" i="1" s="1"/>
  <c r="V196" i="1"/>
  <c r="BO196" i="1" s="1"/>
  <c r="AD129" i="1"/>
  <c r="AA221" i="1"/>
  <c r="AA198" i="1"/>
  <c r="V198" i="1"/>
  <c r="Y129" i="1"/>
  <c r="V221" i="1"/>
  <c r="I3012" i="1"/>
  <c r="I3056" i="1"/>
  <c r="L3012" i="1"/>
  <c r="L3034" i="1"/>
  <c r="L3056" i="1"/>
  <c r="L2836" i="1"/>
  <c r="L2880" i="1"/>
  <c r="K3034" i="1"/>
  <c r="I3034" i="1"/>
  <c r="K3012" i="1"/>
  <c r="I2836" i="1"/>
  <c r="I2858" i="1"/>
  <c r="I2880" i="1"/>
  <c r="K2836" i="1"/>
  <c r="K2858" i="1"/>
  <c r="K2880" i="1"/>
  <c r="K3056" i="1"/>
  <c r="L2858" i="1"/>
  <c r="I2990" i="1"/>
  <c r="L2990" i="1"/>
  <c r="K2990" i="1"/>
  <c r="K2968" i="1"/>
  <c r="I2968" i="1"/>
  <c r="L2968" i="1"/>
  <c r="L2902" i="1"/>
  <c r="I2902" i="1"/>
  <c r="K2902" i="1"/>
  <c r="U129" i="1"/>
  <c r="I2835" i="1"/>
  <c r="I2857" i="1"/>
  <c r="I2879" i="1"/>
  <c r="L2835" i="1"/>
  <c r="L2857" i="1"/>
  <c r="L2879" i="1"/>
  <c r="K2879" i="1"/>
  <c r="K2857" i="1"/>
  <c r="K3055" i="1"/>
  <c r="K2835" i="1"/>
  <c r="I2989" i="1"/>
  <c r="I3011" i="1"/>
  <c r="I3033" i="1"/>
  <c r="I3055" i="1"/>
  <c r="L3055" i="1"/>
  <c r="K3033" i="1"/>
  <c r="L3033" i="1"/>
  <c r="K3011" i="1"/>
  <c r="L3011" i="1"/>
  <c r="K2967" i="1"/>
  <c r="K2989" i="1"/>
  <c r="L2989" i="1"/>
  <c r="I2967" i="1"/>
  <c r="L2967" i="1"/>
  <c r="I2901" i="1"/>
  <c r="L2901" i="1"/>
  <c r="K2901" i="1"/>
  <c r="I2856" i="1"/>
  <c r="V197" i="1" s="1"/>
  <c r="BO197" i="1" s="1"/>
  <c r="L2856" i="1"/>
  <c r="I3032" i="1"/>
  <c r="AB197" i="1" s="1"/>
  <c r="BQ197" i="1" s="1"/>
  <c r="I2878" i="1"/>
  <c r="W197" i="1" s="1"/>
  <c r="BR197" i="1" s="1"/>
  <c r="K2878" i="1"/>
  <c r="W151" i="1" s="1"/>
  <c r="BR151" i="1" s="1"/>
  <c r="I2900" i="1"/>
  <c r="X197" i="1" s="1"/>
  <c r="BM197" i="1" s="1"/>
  <c r="L3032" i="1"/>
  <c r="K2988" i="1"/>
  <c r="Z151" i="1" s="1"/>
  <c r="K2834" i="1"/>
  <c r="U151" i="1" s="1"/>
  <c r="BL151" i="1" s="1"/>
  <c r="K3032" i="1"/>
  <c r="AB151" i="1" s="1"/>
  <c r="BQ151" i="1" s="1"/>
  <c r="L2878" i="1"/>
  <c r="K2900" i="1"/>
  <c r="X151" i="1" s="1"/>
  <c r="BM151" i="1" s="1"/>
  <c r="L2966" i="1"/>
  <c r="L3054" i="1"/>
  <c r="I3054" i="1"/>
  <c r="AC197" i="1" s="1"/>
  <c r="L3010" i="1"/>
  <c r="I2988" i="1"/>
  <c r="Z197" i="1" s="1"/>
  <c r="I2834" i="1"/>
  <c r="U197" i="1" s="1"/>
  <c r="BL197" i="1" s="1"/>
  <c r="I2966" i="1"/>
  <c r="Y197" i="1" s="1"/>
  <c r="BP197" i="1" s="1"/>
  <c r="L2988" i="1"/>
  <c r="L2834" i="1"/>
  <c r="K3010" i="1"/>
  <c r="AA151" i="1" s="1"/>
  <c r="BN151" i="1" s="1"/>
  <c r="K2856" i="1"/>
  <c r="V151" i="1" s="1"/>
  <c r="BO151" i="1" s="1"/>
  <c r="I3010" i="1"/>
  <c r="AA197" i="1" s="1"/>
  <c r="BN197" i="1" s="1"/>
  <c r="L2900" i="1"/>
  <c r="K2966" i="1"/>
  <c r="Y151" i="1" s="1"/>
  <c r="BP151" i="1" s="1"/>
  <c r="K3054" i="1"/>
  <c r="AC151" i="1" s="1"/>
  <c r="Z239" i="1"/>
  <c r="AA241" i="1"/>
  <c r="AB237" i="1"/>
  <c r="AC244" i="1"/>
  <c r="AC237" i="1"/>
  <c r="J232" i="1"/>
  <c r="J234" i="1" s="1"/>
  <c r="K232" i="1"/>
  <c r="K234" i="1" s="1"/>
  <c r="L232" i="1"/>
  <c r="L234" i="1" s="1"/>
  <c r="M232" i="1"/>
  <c r="M234" i="1" s="1"/>
  <c r="N232" i="1"/>
  <c r="N234" i="1" s="1"/>
  <c r="O232" i="1"/>
  <c r="O234" i="1" s="1"/>
  <c r="P232" i="1"/>
  <c r="P234" i="1" s="1"/>
  <c r="Q232" i="1"/>
  <c r="Q234" i="1" s="1"/>
  <c r="R232" i="1"/>
  <c r="R234" i="1" s="1"/>
  <c r="S232" i="1"/>
  <c r="S234" i="1" s="1"/>
  <c r="T232" i="1"/>
  <c r="T234" i="1" s="1"/>
  <c r="U232" i="1"/>
  <c r="U234" i="1" s="1"/>
  <c r="V232" i="1"/>
  <c r="V234" i="1" s="1"/>
  <c r="W232" i="1"/>
  <c r="W234" i="1" s="1"/>
  <c r="I232" i="1"/>
  <c r="I234" i="1" s="1"/>
  <c r="H244" i="1"/>
  <c r="H241" i="1"/>
  <c r="H242" i="1" s="1"/>
  <c r="H239" i="1"/>
  <c r="H238" i="1"/>
  <c r="H237" i="1"/>
  <c r="H234" i="1"/>
  <c r="G237" i="1"/>
  <c r="F237" i="1"/>
  <c r="D245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BS197" i="1" l="1"/>
  <c r="BS196" i="1"/>
  <c r="BT188" i="1"/>
  <c r="BT196" i="1"/>
  <c r="BT197" i="1"/>
  <c r="BS188" i="1"/>
  <c r="BT194" i="1"/>
  <c r="BS194" i="1"/>
  <c r="BT142" i="1"/>
  <c r="BT151" i="1"/>
  <c r="BS148" i="1"/>
  <c r="BS142" i="1"/>
  <c r="BS151" i="1"/>
  <c r="BS150" i="1"/>
  <c r="BT148" i="1"/>
  <c r="BT150" i="1"/>
  <c r="AC152" i="1"/>
  <c r="Y152" i="1"/>
  <c r="Z152" i="1"/>
  <c r="AB152" i="1"/>
  <c r="U152" i="1"/>
  <c r="W152" i="1"/>
  <c r="V152" i="1"/>
  <c r="X152" i="1"/>
  <c r="AA152" i="1"/>
  <c r="AA242" i="1"/>
  <c r="AC238" i="1"/>
  <c r="AA238" i="1"/>
  <c r="Z237" i="1"/>
  <c r="AA239" i="1"/>
  <c r="K244" i="1"/>
  <c r="S241" i="1"/>
  <c r="S242" i="1" s="1"/>
  <c r="AB244" i="1"/>
  <c r="AA237" i="1"/>
  <c r="AA244" i="1"/>
  <c r="AA235" i="1"/>
  <c r="AC242" i="1"/>
  <c r="U239" i="1"/>
  <c r="S239" i="1"/>
  <c r="K238" i="1"/>
  <c r="J244" i="1"/>
  <c r="J238" i="1"/>
  <c r="V241" i="1"/>
  <c r="V242" i="1" s="1"/>
  <c r="O239" i="1"/>
  <c r="Z238" i="1"/>
  <c r="W244" i="1"/>
  <c r="U244" i="1"/>
  <c r="P241" i="1"/>
  <c r="P242" i="1" s="1"/>
  <c r="Z244" i="1"/>
  <c r="AC241" i="1"/>
  <c r="AC236" i="1"/>
  <c r="R244" i="1"/>
  <c r="O241" i="1"/>
  <c r="O242" i="1" s="1"/>
  <c r="J237" i="1"/>
  <c r="AC239" i="1"/>
  <c r="AB236" i="1"/>
  <c r="O244" i="1"/>
  <c r="N241" i="1"/>
  <c r="N242" i="1" s="1"/>
  <c r="AB239" i="1"/>
  <c r="U241" i="1"/>
  <c r="U242" i="1" s="1"/>
  <c r="L239" i="1"/>
  <c r="Z241" i="1"/>
  <c r="Z242" i="1"/>
  <c r="AC235" i="1"/>
  <c r="AB242" i="1"/>
  <c r="AB238" i="1"/>
  <c r="AB235" i="1"/>
  <c r="AB241" i="1"/>
  <c r="Z235" i="1"/>
  <c r="Z236" i="1"/>
  <c r="W238" i="1"/>
  <c r="W237" i="1"/>
  <c r="W239" i="1"/>
  <c r="W241" i="1"/>
  <c r="W242" i="1" s="1"/>
  <c r="V238" i="1"/>
  <c r="V239" i="1"/>
  <c r="V244" i="1"/>
  <c r="V237" i="1"/>
  <c r="U237" i="1"/>
  <c r="U238" i="1"/>
  <c r="T237" i="1"/>
  <c r="T238" i="1"/>
  <c r="T244" i="1"/>
  <c r="T241" i="1"/>
  <c r="T242" i="1" s="1"/>
  <c r="T239" i="1"/>
  <c r="S237" i="1"/>
  <c r="S244" i="1"/>
  <c r="S238" i="1"/>
  <c r="R241" i="1"/>
  <c r="R242" i="1" s="1"/>
  <c r="R239" i="1"/>
  <c r="R238" i="1"/>
  <c r="R237" i="1"/>
  <c r="Q244" i="1"/>
  <c r="Q241" i="1"/>
  <c r="Q242" i="1" s="1"/>
  <c r="Q239" i="1"/>
  <c r="Q238" i="1"/>
  <c r="Q237" i="1"/>
  <c r="P239" i="1"/>
  <c r="P238" i="1"/>
  <c r="P244" i="1"/>
  <c r="P237" i="1"/>
  <c r="O238" i="1"/>
  <c r="O237" i="1"/>
  <c r="N238" i="1"/>
  <c r="N237" i="1"/>
  <c r="N239" i="1"/>
  <c r="N244" i="1"/>
  <c r="M244" i="1"/>
  <c r="M239" i="1"/>
  <c r="M238" i="1"/>
  <c r="M237" i="1"/>
  <c r="M241" i="1"/>
  <c r="M242" i="1" s="1"/>
  <c r="L237" i="1"/>
  <c r="L241" i="1"/>
  <c r="L242" i="1" s="1"/>
  <c r="L238" i="1"/>
  <c r="L244" i="1"/>
  <c r="K241" i="1"/>
  <c r="K242" i="1" s="1"/>
  <c r="K237" i="1"/>
  <c r="K239" i="1"/>
  <c r="J239" i="1"/>
  <c r="J241" i="1"/>
  <c r="J242" i="1" s="1"/>
  <c r="I237" i="1"/>
  <c r="I238" i="1"/>
  <c r="I239" i="1"/>
  <c r="I241" i="1"/>
  <c r="I242" i="1" s="1"/>
  <c r="I244" i="1"/>
  <c r="I281" i="1"/>
  <c r="I295" i="1" s="1"/>
  <c r="J279" i="1"/>
  <c r="J291" i="1" s="1"/>
  <c r="I279" i="1"/>
  <c r="I291" i="1" s="1"/>
  <c r="H279" i="1"/>
  <c r="H291" i="1" s="1"/>
  <c r="G279" i="1"/>
  <c r="G291" i="1" s="1"/>
  <c r="J283" i="1"/>
  <c r="J299" i="1" s="1"/>
  <c r="I283" i="1"/>
  <c r="I299" i="1" s="1"/>
  <c r="H283" i="1"/>
  <c r="H299" i="1" s="1"/>
  <c r="G283" i="1"/>
  <c r="G299" i="1" s="1"/>
  <c r="F283" i="1"/>
  <c r="H282" i="1"/>
  <c r="H297" i="1" s="1"/>
  <c r="J282" i="1"/>
  <c r="J297" i="1" s="1"/>
  <c r="I282" i="1"/>
  <c r="I297" i="1" s="1"/>
  <c r="G282" i="1"/>
  <c r="G297" i="1" s="1"/>
  <c r="J281" i="1"/>
  <c r="J295" i="1" s="1"/>
  <c r="H281" i="1"/>
  <c r="H295" i="1" s="1"/>
  <c r="G281" i="1"/>
  <c r="G295" i="1" s="1"/>
  <c r="F280" i="1"/>
  <c r="M465" i="1" l="1"/>
  <c r="M473" i="1" s="1"/>
  <c r="I464" i="1"/>
  <c r="J464" i="1"/>
  <c r="K464" i="1"/>
  <c r="M464" i="1"/>
  <c r="L1412" i="1"/>
  <c r="L464" i="1" s="1"/>
  <c r="H1412" i="1"/>
  <c r="H464" i="1" s="1"/>
  <c r="G464" i="1"/>
  <c r="I262" i="1"/>
  <c r="I298" i="1" s="1"/>
  <c r="H262" i="1"/>
  <c r="H298" i="1" s="1"/>
  <c r="G262" i="1"/>
  <c r="G298" i="1" s="1"/>
  <c r="J260" i="1"/>
  <c r="J294" i="1" s="1"/>
  <c r="I260" i="1"/>
  <c r="I294" i="1" s="1"/>
  <c r="H260" i="1"/>
  <c r="H294" i="1" s="1"/>
  <c r="F260" i="1"/>
  <c r="F294" i="1" s="1"/>
  <c r="G260" i="1"/>
  <c r="G294" i="1" s="1"/>
  <c r="J262" i="1"/>
  <c r="J298" i="1" s="1"/>
  <c r="J261" i="1"/>
  <c r="J296" i="1" s="1"/>
  <c r="I261" i="1"/>
  <c r="I296" i="1" s="1"/>
  <c r="H261" i="1"/>
  <c r="H296" i="1" s="1"/>
  <c r="G261" i="1"/>
  <c r="G296" i="1" s="1"/>
  <c r="J259" i="1"/>
  <c r="J292" i="1" s="1"/>
  <c r="J293" i="1" s="1"/>
  <c r="I259" i="1"/>
  <c r="I292" i="1" s="1"/>
  <c r="I293" i="1" s="1"/>
  <c r="H259" i="1"/>
  <c r="H292" i="1" s="1"/>
  <c r="G259" i="1"/>
  <c r="G292" i="1" s="1"/>
  <c r="J258" i="1"/>
  <c r="J290" i="1" s="1"/>
  <c r="I258" i="1"/>
  <c r="I290" i="1" s="1"/>
  <c r="H258" i="1"/>
  <c r="H290" i="1" s="1"/>
  <c r="G258" i="1"/>
  <c r="G290" i="1" s="1"/>
  <c r="F464" i="1" l="1"/>
  <c r="F261" i="1"/>
  <c r="F258" i="1"/>
  <c r="F290" i="1" s="1"/>
  <c r="E464" i="1" l="1"/>
  <c r="F472" i="1" s="1"/>
  <c r="F296" i="1"/>
  <c r="F297" i="1" s="1"/>
  <c r="F550" i="1"/>
  <c r="G550" i="1"/>
  <c r="I550" i="1"/>
  <c r="K550" i="1"/>
  <c r="M550" i="1"/>
  <c r="E550" i="1"/>
  <c r="F542" i="1"/>
  <c r="G542" i="1"/>
  <c r="H542" i="1"/>
  <c r="I542" i="1"/>
  <c r="J542" i="1"/>
  <c r="K542" i="1"/>
  <c r="L542" i="1"/>
  <c r="M542" i="1"/>
  <c r="F543" i="1"/>
  <c r="G543" i="1"/>
  <c r="H543" i="1"/>
  <c r="I543" i="1"/>
  <c r="J543" i="1"/>
  <c r="K543" i="1"/>
  <c r="L543" i="1"/>
  <c r="M543" i="1"/>
  <c r="F544" i="1"/>
  <c r="G544" i="1"/>
  <c r="H544" i="1"/>
  <c r="I544" i="1"/>
  <c r="J544" i="1"/>
  <c r="K544" i="1"/>
  <c r="L544" i="1"/>
  <c r="M544" i="1"/>
  <c r="F545" i="1"/>
  <c r="G545" i="1"/>
  <c r="H545" i="1"/>
  <c r="I545" i="1"/>
  <c r="J545" i="1"/>
  <c r="K545" i="1"/>
  <c r="L545" i="1"/>
  <c r="M545" i="1"/>
  <c r="F546" i="1"/>
  <c r="G546" i="1"/>
  <c r="H546" i="1"/>
  <c r="I546" i="1"/>
  <c r="J546" i="1"/>
  <c r="K546" i="1"/>
  <c r="L546" i="1"/>
  <c r="M546" i="1"/>
  <c r="F547" i="1"/>
  <c r="G547" i="1"/>
  <c r="H547" i="1"/>
  <c r="I547" i="1"/>
  <c r="J547" i="1"/>
  <c r="K547" i="1"/>
  <c r="L547" i="1"/>
  <c r="M547" i="1"/>
  <c r="F548" i="1"/>
  <c r="G548" i="1"/>
  <c r="H548" i="1"/>
  <c r="I548" i="1"/>
  <c r="J548" i="1"/>
  <c r="K548" i="1"/>
  <c r="L548" i="1"/>
  <c r="M548" i="1"/>
  <c r="F549" i="1"/>
  <c r="G549" i="1"/>
  <c r="H549" i="1"/>
  <c r="I549" i="1"/>
  <c r="J549" i="1"/>
  <c r="K549" i="1"/>
  <c r="L549" i="1"/>
  <c r="M549" i="1"/>
  <c r="E548" i="1"/>
  <c r="E549" i="1"/>
  <c r="E547" i="1"/>
  <c r="E545" i="1"/>
  <c r="E546" i="1"/>
  <c r="E544" i="1"/>
  <c r="E541" i="1" s="1"/>
  <c r="E543" i="1"/>
  <c r="E540" i="1" s="1"/>
  <c r="E542" i="1"/>
  <c r="E539" i="1" s="1"/>
  <c r="M539" i="1"/>
  <c r="M540" i="1"/>
  <c r="M541" i="1"/>
  <c r="J539" i="1"/>
  <c r="J540" i="1"/>
  <c r="J541" i="1"/>
  <c r="J147" i="1"/>
  <c r="I147" i="1"/>
  <c r="J209" i="1"/>
  <c r="BE209" i="1" s="1"/>
  <c r="K209" i="1"/>
  <c r="BB209" i="1" s="1"/>
  <c r="L209" i="1"/>
  <c r="BG209" i="1" s="1"/>
  <c r="M209" i="1"/>
  <c r="BD209" i="1" s="1"/>
  <c r="N209" i="1"/>
  <c r="BA209" i="1" s="1"/>
  <c r="O209" i="1"/>
  <c r="BF209" i="1" s="1"/>
  <c r="P209" i="1"/>
  <c r="BC209" i="1" s="1"/>
  <c r="I209" i="1"/>
  <c r="AZ209" i="1" s="1"/>
  <c r="J186" i="1"/>
  <c r="BE186" i="1" s="1"/>
  <c r="K186" i="1"/>
  <c r="BB186" i="1" s="1"/>
  <c r="L186" i="1"/>
  <c r="BG186" i="1" s="1"/>
  <c r="M186" i="1"/>
  <c r="BD186" i="1" s="1"/>
  <c r="N186" i="1"/>
  <c r="BA186" i="1" s="1"/>
  <c r="O186" i="1"/>
  <c r="BF186" i="1" s="1"/>
  <c r="P186" i="1"/>
  <c r="BC186" i="1" s="1"/>
  <c r="I186" i="1"/>
  <c r="AZ186" i="1" s="1"/>
  <c r="J163" i="1"/>
  <c r="BE163" i="1" s="1"/>
  <c r="K163" i="1"/>
  <c r="BB163" i="1" s="1"/>
  <c r="L163" i="1"/>
  <c r="BG163" i="1" s="1"/>
  <c r="M163" i="1"/>
  <c r="BD163" i="1" s="1"/>
  <c r="N163" i="1"/>
  <c r="BA163" i="1" s="1"/>
  <c r="O163" i="1"/>
  <c r="BF163" i="1" s="1"/>
  <c r="P163" i="1"/>
  <c r="BC163" i="1" s="1"/>
  <c r="I163" i="1"/>
  <c r="AZ163" i="1" s="1"/>
  <c r="J140" i="1"/>
  <c r="BE140" i="1" s="1"/>
  <c r="K140" i="1"/>
  <c r="BB140" i="1" s="1"/>
  <c r="L140" i="1"/>
  <c r="BG140" i="1" s="1"/>
  <c r="M140" i="1"/>
  <c r="BD140" i="1" s="1"/>
  <c r="N140" i="1"/>
  <c r="BA140" i="1" s="1"/>
  <c r="O140" i="1"/>
  <c r="BF140" i="1" s="1"/>
  <c r="P140" i="1"/>
  <c r="BC140" i="1" s="1"/>
  <c r="I140" i="1"/>
  <c r="AZ140" i="1" s="1"/>
  <c r="N117" i="1"/>
  <c r="O117" i="1"/>
  <c r="P117" i="1"/>
  <c r="J117" i="1"/>
  <c r="K117" i="1"/>
  <c r="L117" i="1"/>
  <c r="M117" i="1"/>
  <c r="I117" i="1"/>
  <c r="G1333" i="1"/>
  <c r="H1333" i="1"/>
  <c r="I1333" i="1"/>
  <c r="I1332" i="1"/>
  <c r="H1332" i="1"/>
  <c r="G1332" i="1"/>
  <c r="G1323" i="1"/>
  <c r="H1323" i="1"/>
  <c r="I1323" i="1"/>
  <c r="G1324" i="1"/>
  <c r="H1324" i="1"/>
  <c r="I1324" i="1"/>
  <c r="G1325" i="1"/>
  <c r="H1325" i="1"/>
  <c r="I1325" i="1"/>
  <c r="G1326" i="1"/>
  <c r="H1326" i="1"/>
  <c r="I1326" i="1"/>
  <c r="G1327" i="1"/>
  <c r="H1327" i="1"/>
  <c r="I1327" i="1"/>
  <c r="G1328" i="1"/>
  <c r="H1328" i="1"/>
  <c r="I1328" i="1"/>
  <c r="G1329" i="1"/>
  <c r="H1329" i="1"/>
  <c r="I1329" i="1"/>
  <c r="G1330" i="1"/>
  <c r="H1330" i="1"/>
  <c r="I1330" i="1"/>
  <c r="G1331" i="1"/>
  <c r="H1331" i="1"/>
  <c r="I1331" i="1"/>
  <c r="I1322" i="1"/>
  <c r="H1322" i="1"/>
  <c r="G1322" i="1"/>
  <c r="F1333" i="1"/>
  <c r="F1332" i="1"/>
  <c r="F1323" i="1"/>
  <c r="F1324" i="1"/>
  <c r="F1325" i="1"/>
  <c r="F1326" i="1"/>
  <c r="F1327" i="1"/>
  <c r="F1328" i="1"/>
  <c r="F1329" i="1"/>
  <c r="F1330" i="1"/>
  <c r="F1331" i="1"/>
  <c r="F1322" i="1"/>
  <c r="E1333" i="1"/>
  <c r="D1333" i="1"/>
  <c r="E1332" i="1"/>
  <c r="E1323" i="1"/>
  <c r="E1324" i="1"/>
  <c r="E1325" i="1"/>
  <c r="E1326" i="1"/>
  <c r="E1327" i="1"/>
  <c r="E1328" i="1"/>
  <c r="E1329" i="1"/>
  <c r="E1330" i="1"/>
  <c r="E1331" i="1"/>
  <c r="E1322" i="1"/>
  <c r="D1323" i="1"/>
  <c r="D1324" i="1"/>
  <c r="D1325" i="1"/>
  <c r="D1326" i="1"/>
  <c r="D1327" i="1"/>
  <c r="D1328" i="1"/>
  <c r="D1329" i="1"/>
  <c r="D1330" i="1"/>
  <c r="D1331" i="1"/>
  <c r="D1322" i="1"/>
  <c r="I1354" i="1"/>
  <c r="I1355" i="1"/>
  <c r="I1356" i="1"/>
  <c r="I1357" i="1"/>
  <c r="I1358" i="1"/>
  <c r="I1359" i="1"/>
  <c r="I1360" i="1"/>
  <c r="I1361" i="1"/>
  <c r="I1362" i="1"/>
  <c r="D1354" i="1"/>
  <c r="D1355" i="1"/>
  <c r="D1356" i="1"/>
  <c r="D1357" i="1"/>
  <c r="D1358" i="1"/>
  <c r="D1359" i="1"/>
  <c r="D1360" i="1"/>
  <c r="D1361" i="1"/>
  <c r="D1362" i="1"/>
  <c r="F1354" i="1"/>
  <c r="F1355" i="1"/>
  <c r="F1356" i="1"/>
  <c r="F1357" i="1"/>
  <c r="F1358" i="1"/>
  <c r="F1359" i="1"/>
  <c r="F1360" i="1"/>
  <c r="F1361" i="1"/>
  <c r="F1362" i="1"/>
  <c r="G1354" i="1"/>
  <c r="G1355" i="1"/>
  <c r="G1356" i="1"/>
  <c r="G1357" i="1"/>
  <c r="G1358" i="1"/>
  <c r="G1359" i="1"/>
  <c r="G1360" i="1"/>
  <c r="G1361" i="1"/>
  <c r="G1362" i="1"/>
  <c r="G1353" i="1"/>
  <c r="H1354" i="1"/>
  <c r="H1355" i="1"/>
  <c r="H1356" i="1"/>
  <c r="H1357" i="1"/>
  <c r="H1358" i="1"/>
  <c r="H1359" i="1"/>
  <c r="H1360" i="1"/>
  <c r="H1361" i="1"/>
  <c r="H1353" i="1"/>
  <c r="H1362" i="1"/>
  <c r="E1363" i="1"/>
  <c r="F1363" i="1"/>
  <c r="G1363" i="1"/>
  <c r="H1363" i="1"/>
  <c r="I1363" i="1"/>
  <c r="I1353" i="1"/>
  <c r="I1364" i="1"/>
  <c r="H1364" i="1"/>
  <c r="E1364" i="1"/>
  <c r="F1364" i="1"/>
  <c r="G1364" i="1"/>
  <c r="D1364" i="1"/>
  <c r="E1353" i="1"/>
  <c r="F1353" i="1"/>
  <c r="E1354" i="1"/>
  <c r="E1355" i="1"/>
  <c r="E1356" i="1"/>
  <c r="E1357" i="1"/>
  <c r="E1358" i="1"/>
  <c r="E1359" i="1"/>
  <c r="E1360" i="1"/>
  <c r="E1361" i="1"/>
  <c r="E1362" i="1"/>
  <c r="D1353" i="1"/>
  <c r="E472" i="1" l="1"/>
  <c r="K472" i="1"/>
  <c r="J472" i="1"/>
  <c r="I472" i="1"/>
  <c r="G472" i="1"/>
  <c r="H472" i="1"/>
  <c r="L472" i="1"/>
  <c r="M472" i="1"/>
  <c r="BG117" i="1"/>
  <c r="BF117" i="1"/>
  <c r="BA117" i="1"/>
  <c r="AZ117" i="1"/>
  <c r="BD117" i="1"/>
  <c r="BB117" i="1"/>
  <c r="BE117" i="1"/>
  <c r="BC117" i="1"/>
  <c r="I148" i="1"/>
  <c r="AZ148" i="1" s="1"/>
  <c r="AZ147" i="1"/>
  <c r="J148" i="1"/>
  <c r="BE148" i="1" s="1"/>
  <c r="BE147" i="1"/>
  <c r="E560" i="1"/>
  <c r="M560" i="1"/>
  <c r="J550" i="1"/>
  <c r="J560" i="1" s="1"/>
  <c r="F541" i="1"/>
  <c r="L550" i="1"/>
  <c r="L540" i="1"/>
  <c r="K540" i="1"/>
  <c r="K539" i="1"/>
  <c r="G541" i="1"/>
  <c r="H550" i="1"/>
  <c r="L541" i="1"/>
  <c r="I539" i="1"/>
  <c r="H539" i="1"/>
  <c r="G539" i="1"/>
  <c r="F539" i="1"/>
  <c r="F540" i="1"/>
  <c r="H540" i="1"/>
  <c r="G540" i="1"/>
  <c r="I540" i="1"/>
  <c r="I541" i="1"/>
  <c r="L539" i="1"/>
  <c r="H541" i="1"/>
  <c r="K541" i="1"/>
  <c r="G324" i="1"/>
  <c r="I324" i="1"/>
  <c r="J324" i="1"/>
  <c r="K324" i="1"/>
  <c r="M324" i="1"/>
  <c r="G325" i="1"/>
  <c r="I325" i="1"/>
  <c r="J325" i="1"/>
  <c r="K325" i="1"/>
  <c r="M325" i="1"/>
  <c r="E325" i="1"/>
  <c r="E324" i="1"/>
  <c r="L1497" i="1"/>
  <c r="L325" i="1" s="1"/>
  <c r="L1496" i="1"/>
  <c r="L324" i="1" s="1"/>
  <c r="H1497" i="1"/>
  <c r="H325" i="1" s="1"/>
  <c r="H1496" i="1"/>
  <c r="H324" i="1" s="1"/>
  <c r="F1497" i="1"/>
  <c r="F325" i="1" s="1"/>
  <c r="F1496" i="1"/>
  <c r="F324" i="1" s="1"/>
  <c r="G560" i="1" l="1"/>
  <c r="K560" i="1"/>
  <c r="F560" i="1"/>
  <c r="L560" i="1"/>
  <c r="H560" i="1"/>
  <c r="I560" i="1"/>
  <c r="E375" i="1"/>
  <c r="M375" i="1"/>
  <c r="K375" i="1" s="1"/>
  <c r="H375" i="1" s="1"/>
  <c r="M376" i="1"/>
  <c r="L376" i="1" s="1"/>
  <c r="I376" i="1" s="1"/>
  <c r="G760" i="1"/>
  <c r="G373" i="1" s="1"/>
  <c r="H760" i="1"/>
  <c r="H373" i="1" s="1"/>
  <c r="I760" i="1"/>
  <c r="I373" i="1" s="1"/>
  <c r="I759" i="1"/>
  <c r="I374" i="1" s="1"/>
  <c r="H759" i="1"/>
  <c r="H374" i="1" s="1"/>
  <c r="G759" i="1"/>
  <c r="G374" i="1" s="1"/>
  <c r="L760" i="1"/>
  <c r="L373" i="1" s="1"/>
  <c r="K760" i="1"/>
  <c r="K373" i="1" s="1"/>
  <c r="L759" i="1"/>
  <c r="L374" i="1" s="1"/>
  <c r="K759" i="1"/>
  <c r="K374" i="1" s="1"/>
  <c r="M378" i="1"/>
  <c r="J374" i="1"/>
  <c r="M374" i="1"/>
  <c r="J373" i="1"/>
  <c r="M373" i="1"/>
  <c r="E373" i="1"/>
  <c r="F373" i="1"/>
  <c r="E371" i="1"/>
  <c r="E372" i="1"/>
  <c r="E374" i="1"/>
  <c r="F374" i="1"/>
  <c r="G371" i="1"/>
  <c r="J371" i="1"/>
  <c r="M371" i="1"/>
  <c r="G372" i="1"/>
  <c r="J372" i="1"/>
  <c r="M372" i="1"/>
  <c r="F348" i="1"/>
  <c r="G348" i="1"/>
  <c r="H348" i="1"/>
  <c r="K348" i="1"/>
  <c r="M348" i="1"/>
  <c r="E348" i="1"/>
  <c r="L1214" i="1"/>
  <c r="L348" i="1" s="1"/>
  <c r="J1214" i="1"/>
  <c r="J348" i="1" s="1"/>
  <c r="I1214" i="1"/>
  <c r="I348" i="1" s="1"/>
  <c r="J321" i="1"/>
  <c r="M321" i="1"/>
  <c r="J322" i="1"/>
  <c r="M322" i="1"/>
  <c r="J323" i="1"/>
  <c r="M323" i="1"/>
  <c r="E322" i="1"/>
  <c r="E323" i="1"/>
  <c r="E321" i="1"/>
  <c r="E327" i="1" s="1"/>
  <c r="M327" i="1" s="1"/>
  <c r="M2737" i="1"/>
  <c r="M2736" i="1"/>
  <c r="M350" i="1" s="1"/>
  <c r="M329" i="1"/>
  <c r="M328" i="1"/>
  <c r="L1442" i="1"/>
  <c r="L340" i="1" s="1"/>
  <c r="L1449" i="1"/>
  <c r="L341" i="1" s="1"/>
  <c r="L1456" i="1"/>
  <c r="L342" i="1" s="1"/>
  <c r="L1463" i="1"/>
  <c r="L343" i="1" s="1"/>
  <c r="L1470" i="1"/>
  <c r="L344" i="1" s="1"/>
  <c r="L1491" i="1"/>
  <c r="L347" i="1" s="1"/>
  <c r="L1484" i="1"/>
  <c r="L346" i="1" s="1"/>
  <c r="L1477" i="1"/>
  <c r="L345" i="1" s="1"/>
  <c r="H1442" i="1"/>
  <c r="H340" i="1" s="1"/>
  <c r="F1442" i="1"/>
  <c r="F340" i="1" s="1"/>
  <c r="H1449" i="1"/>
  <c r="H341" i="1" s="1"/>
  <c r="F1449" i="1"/>
  <c r="F341" i="1" s="1"/>
  <c r="H1456" i="1"/>
  <c r="H342" i="1" s="1"/>
  <c r="F1456" i="1"/>
  <c r="F342" i="1" s="1"/>
  <c r="H1463" i="1"/>
  <c r="H343" i="1" s="1"/>
  <c r="F1463" i="1"/>
  <c r="F343" i="1" s="1"/>
  <c r="H1470" i="1"/>
  <c r="H344" i="1" s="1"/>
  <c r="F1470" i="1"/>
  <c r="F344" i="1" s="1"/>
  <c r="H1477" i="1"/>
  <c r="H345" i="1" s="1"/>
  <c r="F1477" i="1"/>
  <c r="F345" i="1" s="1"/>
  <c r="H1484" i="1"/>
  <c r="H346" i="1" s="1"/>
  <c r="F1484" i="1"/>
  <c r="F346" i="1" s="1"/>
  <c r="H1491" i="1"/>
  <c r="H347" i="1" s="1"/>
  <c r="F1491" i="1"/>
  <c r="F347" i="1" s="1"/>
  <c r="E340" i="1"/>
  <c r="G340" i="1"/>
  <c r="I340" i="1"/>
  <c r="J340" i="1"/>
  <c r="K340" i="1"/>
  <c r="M340" i="1"/>
  <c r="E341" i="1"/>
  <c r="G341" i="1"/>
  <c r="I341" i="1"/>
  <c r="J341" i="1"/>
  <c r="K341" i="1"/>
  <c r="M341" i="1"/>
  <c r="E342" i="1"/>
  <c r="G342" i="1"/>
  <c r="I342" i="1"/>
  <c r="J342" i="1"/>
  <c r="K342" i="1"/>
  <c r="M342" i="1"/>
  <c r="E343" i="1"/>
  <c r="G343" i="1"/>
  <c r="I343" i="1"/>
  <c r="J343" i="1"/>
  <c r="K343" i="1"/>
  <c r="M343" i="1"/>
  <c r="E344" i="1"/>
  <c r="G344" i="1"/>
  <c r="I344" i="1"/>
  <c r="J344" i="1"/>
  <c r="K344" i="1"/>
  <c r="M344" i="1"/>
  <c r="E345" i="1"/>
  <c r="G345" i="1"/>
  <c r="I345" i="1"/>
  <c r="J345" i="1"/>
  <c r="K345" i="1"/>
  <c r="M345" i="1"/>
  <c r="E346" i="1"/>
  <c r="G346" i="1"/>
  <c r="I346" i="1"/>
  <c r="J346" i="1"/>
  <c r="K346" i="1"/>
  <c r="M346" i="1"/>
  <c r="E347" i="1"/>
  <c r="G347" i="1"/>
  <c r="I347" i="1"/>
  <c r="J347" i="1"/>
  <c r="K347" i="1"/>
  <c r="M347" i="1"/>
  <c r="G336" i="1"/>
  <c r="H336" i="1"/>
  <c r="J336" i="1"/>
  <c r="M336" i="1"/>
  <c r="E336" i="1"/>
  <c r="H965" i="1"/>
  <c r="H337" i="1" s="1"/>
  <c r="J965" i="1"/>
  <c r="J337" i="1" s="1"/>
  <c r="M965" i="1"/>
  <c r="M337" i="1" s="1"/>
  <c r="H966" i="1"/>
  <c r="H338" i="1" s="1"/>
  <c r="J966" i="1"/>
  <c r="J338" i="1" s="1"/>
  <c r="M966" i="1"/>
  <c r="M338" i="1" s="1"/>
  <c r="H967" i="1"/>
  <c r="H339" i="1" s="1"/>
  <c r="J967" i="1"/>
  <c r="J339" i="1" s="1"/>
  <c r="M967" i="1"/>
  <c r="M339" i="1" s="1"/>
  <c r="F966" i="1"/>
  <c r="F338" i="1" s="1"/>
  <c r="F967" i="1"/>
  <c r="F339" i="1" s="1"/>
  <c r="F965" i="1"/>
  <c r="F337" i="1" s="1"/>
  <c r="F972" i="1"/>
  <c r="F322" i="1" s="1"/>
  <c r="G972" i="1"/>
  <c r="G322" i="1" s="1"/>
  <c r="H972" i="1"/>
  <c r="H322" i="1" s="1"/>
  <c r="I972" i="1"/>
  <c r="I322" i="1" s="1"/>
  <c r="F973" i="1"/>
  <c r="F323" i="1" s="1"/>
  <c r="G973" i="1"/>
  <c r="G323" i="1" s="1"/>
  <c r="H973" i="1"/>
  <c r="H323" i="1" s="1"/>
  <c r="I973" i="1"/>
  <c r="I323" i="1" s="1"/>
  <c r="I971" i="1"/>
  <c r="I321" i="1" s="1"/>
  <c r="H971" i="1"/>
  <c r="H321" i="1" s="1"/>
  <c r="G971" i="1"/>
  <c r="G321" i="1" s="1"/>
  <c r="F971" i="1"/>
  <c r="F321" i="1" s="1"/>
  <c r="L973" i="1"/>
  <c r="L323" i="1" s="1"/>
  <c r="K973" i="1"/>
  <c r="K323" i="1" s="1"/>
  <c r="L972" i="1"/>
  <c r="L322" i="1" s="1"/>
  <c r="K972" i="1"/>
  <c r="K322" i="1" s="1"/>
  <c r="L971" i="1"/>
  <c r="L321" i="1" s="1"/>
  <c r="K971" i="1"/>
  <c r="K321" i="1" s="1"/>
  <c r="Q220" i="1"/>
  <c r="BH220" i="1" s="1"/>
  <c r="H220" i="1"/>
  <c r="AY220" i="1" s="1"/>
  <c r="G220" i="1"/>
  <c r="AX220" i="1" s="1"/>
  <c r="F220" i="1"/>
  <c r="AW220" i="1" s="1"/>
  <c r="R219" i="1"/>
  <c r="BI219" i="1" s="1"/>
  <c r="Q219" i="1"/>
  <c r="BH219" i="1" s="1"/>
  <c r="P219" i="1"/>
  <c r="BC219" i="1" s="1"/>
  <c r="O219" i="1"/>
  <c r="BF219" i="1" s="1"/>
  <c r="N219" i="1"/>
  <c r="BA219" i="1" s="1"/>
  <c r="L219" i="1"/>
  <c r="BG219" i="1" s="1"/>
  <c r="K219" i="1"/>
  <c r="BB219" i="1" s="1"/>
  <c r="J219" i="1"/>
  <c r="BE219" i="1" s="1"/>
  <c r="I219" i="1"/>
  <c r="AZ219" i="1" s="1"/>
  <c r="H219" i="1"/>
  <c r="AY219" i="1" s="1"/>
  <c r="R217" i="1"/>
  <c r="BI217" i="1" s="1"/>
  <c r="Q217" i="1"/>
  <c r="BH217" i="1" s="1"/>
  <c r="R216" i="1"/>
  <c r="BI216" i="1" s="1"/>
  <c r="Q216" i="1"/>
  <c r="BH216" i="1" s="1"/>
  <c r="P216" i="1"/>
  <c r="O216" i="1"/>
  <c r="N216" i="1"/>
  <c r="L216" i="1"/>
  <c r="K216" i="1"/>
  <c r="J216" i="1"/>
  <c r="I216" i="1"/>
  <c r="R214" i="1"/>
  <c r="BI214" i="1" s="1"/>
  <c r="Q214" i="1"/>
  <c r="BH214" i="1" s="1"/>
  <c r="P214" i="1"/>
  <c r="BC214" i="1" s="1"/>
  <c r="O214" i="1"/>
  <c r="BF214" i="1" s="1"/>
  <c r="N214" i="1"/>
  <c r="BA214" i="1" s="1"/>
  <c r="L214" i="1"/>
  <c r="BG214" i="1" s="1"/>
  <c r="K214" i="1"/>
  <c r="BB214" i="1" s="1"/>
  <c r="J214" i="1"/>
  <c r="BE214" i="1" s="1"/>
  <c r="I214" i="1"/>
  <c r="AZ214" i="1" s="1"/>
  <c r="R213" i="1"/>
  <c r="BI213" i="1" s="1"/>
  <c r="Q213" i="1"/>
  <c r="BH213" i="1" s="1"/>
  <c r="P213" i="1"/>
  <c r="BC213" i="1" s="1"/>
  <c r="O213" i="1"/>
  <c r="BF213" i="1" s="1"/>
  <c r="N213" i="1"/>
  <c r="BA213" i="1" s="1"/>
  <c r="L213" i="1"/>
  <c r="BG213" i="1" s="1"/>
  <c r="K213" i="1"/>
  <c r="BB213" i="1" s="1"/>
  <c r="J213" i="1"/>
  <c r="BE213" i="1" s="1"/>
  <c r="I213" i="1"/>
  <c r="AZ213" i="1" s="1"/>
  <c r="R212" i="1"/>
  <c r="BI212" i="1" s="1"/>
  <c r="Q212" i="1"/>
  <c r="BH212" i="1" s="1"/>
  <c r="P212" i="1"/>
  <c r="BC212" i="1" s="1"/>
  <c r="O212" i="1"/>
  <c r="BF212" i="1" s="1"/>
  <c r="N212" i="1"/>
  <c r="BA212" i="1" s="1"/>
  <c r="L212" i="1"/>
  <c r="BG212" i="1" s="1"/>
  <c r="K212" i="1"/>
  <c r="BB212" i="1" s="1"/>
  <c r="J212" i="1"/>
  <c r="BE212" i="1" s="1"/>
  <c r="I212" i="1"/>
  <c r="AZ212" i="1" s="1"/>
  <c r="H212" i="1"/>
  <c r="AY212" i="1" s="1"/>
  <c r="G212" i="1"/>
  <c r="AX212" i="1" s="1"/>
  <c r="F212" i="1"/>
  <c r="AW212" i="1" s="1"/>
  <c r="H211" i="1"/>
  <c r="AY211" i="1" s="1"/>
  <c r="G211" i="1"/>
  <c r="AX211" i="1" s="1"/>
  <c r="F211" i="1"/>
  <c r="AW211" i="1" s="1"/>
  <c r="H210" i="1"/>
  <c r="AY210" i="1" s="1"/>
  <c r="G210" i="1"/>
  <c r="AX210" i="1" s="1"/>
  <c r="F210" i="1"/>
  <c r="AW210" i="1" s="1"/>
  <c r="R209" i="1"/>
  <c r="BI209" i="1" s="1"/>
  <c r="Q209" i="1"/>
  <c r="BH209" i="1" s="1"/>
  <c r="Q197" i="1"/>
  <c r="BH197" i="1" s="1"/>
  <c r="H197" i="1"/>
  <c r="AY197" i="1" s="1"/>
  <c r="G197" i="1"/>
  <c r="AX197" i="1" s="1"/>
  <c r="F197" i="1"/>
  <c r="AW197" i="1" s="1"/>
  <c r="R196" i="1"/>
  <c r="BI196" i="1" s="1"/>
  <c r="Q196" i="1"/>
  <c r="BH196" i="1" s="1"/>
  <c r="P196" i="1"/>
  <c r="BC196" i="1" s="1"/>
  <c r="O196" i="1"/>
  <c r="BF196" i="1" s="1"/>
  <c r="N196" i="1"/>
  <c r="BA196" i="1" s="1"/>
  <c r="L196" i="1"/>
  <c r="BG196" i="1" s="1"/>
  <c r="K196" i="1"/>
  <c r="BB196" i="1" s="1"/>
  <c r="J196" i="1"/>
  <c r="BE196" i="1" s="1"/>
  <c r="I196" i="1"/>
  <c r="AZ196" i="1" s="1"/>
  <c r="H196" i="1"/>
  <c r="AY196" i="1" s="1"/>
  <c r="G196" i="1"/>
  <c r="AX196" i="1" s="1"/>
  <c r="F196" i="1"/>
  <c r="AW196" i="1" s="1"/>
  <c r="R194" i="1"/>
  <c r="BI194" i="1" s="1"/>
  <c r="Q194" i="1"/>
  <c r="BH194" i="1" s="1"/>
  <c r="R193" i="1"/>
  <c r="BI193" i="1" s="1"/>
  <c r="Q193" i="1"/>
  <c r="BH193" i="1" s="1"/>
  <c r="P193" i="1"/>
  <c r="O193" i="1"/>
  <c r="N193" i="1"/>
  <c r="L193" i="1"/>
  <c r="K193" i="1"/>
  <c r="J193" i="1"/>
  <c r="I193" i="1"/>
  <c r="R191" i="1"/>
  <c r="BI191" i="1" s="1"/>
  <c r="Q191" i="1"/>
  <c r="BH191" i="1" s="1"/>
  <c r="P191" i="1"/>
  <c r="BC191" i="1" s="1"/>
  <c r="O191" i="1"/>
  <c r="BF191" i="1" s="1"/>
  <c r="N191" i="1"/>
  <c r="BA191" i="1" s="1"/>
  <c r="L191" i="1"/>
  <c r="BG191" i="1" s="1"/>
  <c r="K191" i="1"/>
  <c r="BB191" i="1" s="1"/>
  <c r="J191" i="1"/>
  <c r="BE191" i="1" s="1"/>
  <c r="I191" i="1"/>
  <c r="AZ191" i="1" s="1"/>
  <c r="R190" i="1"/>
  <c r="BI190" i="1" s="1"/>
  <c r="Q190" i="1"/>
  <c r="BH190" i="1" s="1"/>
  <c r="P190" i="1"/>
  <c r="BC190" i="1" s="1"/>
  <c r="O190" i="1"/>
  <c r="BF190" i="1" s="1"/>
  <c r="N190" i="1"/>
  <c r="BA190" i="1" s="1"/>
  <c r="L190" i="1"/>
  <c r="BG190" i="1" s="1"/>
  <c r="K190" i="1"/>
  <c r="BB190" i="1" s="1"/>
  <c r="J190" i="1"/>
  <c r="BE190" i="1" s="1"/>
  <c r="I190" i="1"/>
  <c r="AZ190" i="1" s="1"/>
  <c r="R189" i="1"/>
  <c r="BI189" i="1" s="1"/>
  <c r="Q189" i="1"/>
  <c r="BH189" i="1" s="1"/>
  <c r="P189" i="1"/>
  <c r="BC189" i="1" s="1"/>
  <c r="O189" i="1"/>
  <c r="BF189" i="1" s="1"/>
  <c r="N189" i="1"/>
  <c r="BA189" i="1" s="1"/>
  <c r="L189" i="1"/>
  <c r="BG189" i="1" s="1"/>
  <c r="K189" i="1"/>
  <c r="BB189" i="1" s="1"/>
  <c r="J189" i="1"/>
  <c r="BE189" i="1" s="1"/>
  <c r="I189" i="1"/>
  <c r="AZ189" i="1" s="1"/>
  <c r="H189" i="1"/>
  <c r="AY189" i="1" s="1"/>
  <c r="G189" i="1"/>
  <c r="AX189" i="1" s="1"/>
  <c r="F189" i="1"/>
  <c r="AW189" i="1" s="1"/>
  <c r="H188" i="1"/>
  <c r="AY188" i="1" s="1"/>
  <c r="G188" i="1"/>
  <c r="AX188" i="1" s="1"/>
  <c r="F188" i="1"/>
  <c r="AW188" i="1" s="1"/>
  <c r="H187" i="1"/>
  <c r="AY187" i="1" s="1"/>
  <c r="G187" i="1"/>
  <c r="AX187" i="1" s="1"/>
  <c r="F187" i="1"/>
  <c r="AW187" i="1" s="1"/>
  <c r="R186" i="1"/>
  <c r="BI186" i="1" s="1"/>
  <c r="Q186" i="1"/>
  <c r="BH186" i="1" s="1"/>
  <c r="Q174" i="1"/>
  <c r="BH174" i="1" s="1"/>
  <c r="H174" i="1"/>
  <c r="AY174" i="1" s="1"/>
  <c r="G174" i="1"/>
  <c r="AX174" i="1" s="1"/>
  <c r="F174" i="1"/>
  <c r="AW174" i="1" s="1"/>
  <c r="Q173" i="1"/>
  <c r="BH173" i="1" s="1"/>
  <c r="P173" i="1"/>
  <c r="BC173" i="1" s="1"/>
  <c r="O173" i="1"/>
  <c r="BF173" i="1" s="1"/>
  <c r="N173" i="1"/>
  <c r="BA173" i="1" s="1"/>
  <c r="L173" i="1"/>
  <c r="BG173" i="1" s="1"/>
  <c r="K173" i="1"/>
  <c r="BB173" i="1" s="1"/>
  <c r="J173" i="1"/>
  <c r="BE173" i="1" s="1"/>
  <c r="I173" i="1"/>
  <c r="AZ173" i="1" s="1"/>
  <c r="H173" i="1"/>
  <c r="AY173" i="1" s="1"/>
  <c r="G173" i="1"/>
  <c r="AX173" i="1" s="1"/>
  <c r="F173" i="1"/>
  <c r="AW173" i="1" s="1"/>
  <c r="Q171" i="1"/>
  <c r="BH171" i="1" s="1"/>
  <c r="Q170" i="1"/>
  <c r="BH170" i="1" s="1"/>
  <c r="P170" i="1"/>
  <c r="O170" i="1"/>
  <c r="N170" i="1"/>
  <c r="L170" i="1"/>
  <c r="K170" i="1"/>
  <c r="J170" i="1"/>
  <c r="I170" i="1"/>
  <c r="Q168" i="1"/>
  <c r="BH168" i="1" s="1"/>
  <c r="P168" i="1"/>
  <c r="BC168" i="1" s="1"/>
  <c r="O168" i="1"/>
  <c r="BF168" i="1" s="1"/>
  <c r="N168" i="1"/>
  <c r="BA168" i="1" s="1"/>
  <c r="L168" i="1"/>
  <c r="BG168" i="1" s="1"/>
  <c r="K168" i="1"/>
  <c r="BB168" i="1" s="1"/>
  <c r="J168" i="1"/>
  <c r="BE168" i="1" s="1"/>
  <c r="I168" i="1"/>
  <c r="AZ168" i="1" s="1"/>
  <c r="Q167" i="1"/>
  <c r="BH167" i="1" s="1"/>
  <c r="P167" i="1"/>
  <c r="BC167" i="1" s="1"/>
  <c r="O167" i="1"/>
  <c r="BF167" i="1" s="1"/>
  <c r="N167" i="1"/>
  <c r="BA167" i="1" s="1"/>
  <c r="L167" i="1"/>
  <c r="BG167" i="1" s="1"/>
  <c r="K167" i="1"/>
  <c r="BB167" i="1" s="1"/>
  <c r="J167" i="1"/>
  <c r="BE167" i="1" s="1"/>
  <c r="I167" i="1"/>
  <c r="AZ167" i="1" s="1"/>
  <c r="Q166" i="1"/>
  <c r="BH166" i="1" s="1"/>
  <c r="P166" i="1"/>
  <c r="BC166" i="1" s="1"/>
  <c r="O166" i="1"/>
  <c r="BF166" i="1" s="1"/>
  <c r="N166" i="1"/>
  <c r="BA166" i="1" s="1"/>
  <c r="L166" i="1"/>
  <c r="BG166" i="1" s="1"/>
  <c r="K166" i="1"/>
  <c r="BB166" i="1" s="1"/>
  <c r="J166" i="1"/>
  <c r="BE166" i="1" s="1"/>
  <c r="I166" i="1"/>
  <c r="AZ166" i="1" s="1"/>
  <c r="H166" i="1"/>
  <c r="AY166" i="1" s="1"/>
  <c r="G166" i="1"/>
  <c r="AX166" i="1" s="1"/>
  <c r="F166" i="1"/>
  <c r="AW166" i="1" s="1"/>
  <c r="H165" i="1"/>
  <c r="AY165" i="1" s="1"/>
  <c r="G165" i="1"/>
  <c r="AX165" i="1" s="1"/>
  <c r="F165" i="1"/>
  <c r="AW165" i="1" s="1"/>
  <c r="H164" i="1"/>
  <c r="AY164" i="1" s="1"/>
  <c r="G164" i="1"/>
  <c r="AX164" i="1" s="1"/>
  <c r="F164" i="1"/>
  <c r="AW164" i="1" s="1"/>
  <c r="Q163" i="1"/>
  <c r="BH163" i="1" s="1"/>
  <c r="K892" i="1"/>
  <c r="H150" i="1" s="1"/>
  <c r="AY150" i="1" s="1"/>
  <c r="L892" i="1"/>
  <c r="G877" i="1"/>
  <c r="F219" i="1" s="1"/>
  <c r="AW219" i="1" s="1"/>
  <c r="F877" i="1"/>
  <c r="G884" i="1"/>
  <c r="G219" i="1" s="1"/>
  <c r="AX219" i="1" s="1"/>
  <c r="F884" i="1"/>
  <c r="L893" i="1"/>
  <c r="K893" i="1"/>
  <c r="H151" i="1" s="1"/>
  <c r="AY151" i="1" s="1"/>
  <c r="K888" i="1"/>
  <c r="H141" i="1" s="1"/>
  <c r="AY141" i="1" s="1"/>
  <c r="L888" i="1"/>
  <c r="L887" i="1"/>
  <c r="K887" i="1"/>
  <c r="H142" i="1" s="1"/>
  <c r="AY142" i="1" s="1"/>
  <c r="K880" i="1"/>
  <c r="G141" i="1" s="1"/>
  <c r="AX141" i="1" s="1"/>
  <c r="L880" i="1"/>
  <c r="K884" i="1"/>
  <c r="G150" i="1" s="1"/>
  <c r="AX150" i="1" s="1"/>
  <c r="L884" i="1"/>
  <c r="K885" i="1"/>
  <c r="G151" i="1" s="1"/>
  <c r="AX151" i="1" s="1"/>
  <c r="L885" i="1"/>
  <c r="L879" i="1"/>
  <c r="K879" i="1"/>
  <c r="G142" i="1" s="1"/>
  <c r="AX142" i="1" s="1"/>
  <c r="K873" i="1"/>
  <c r="F141" i="1" s="1"/>
  <c r="AW141" i="1" s="1"/>
  <c r="L873" i="1"/>
  <c r="K877" i="1"/>
  <c r="F150" i="1" s="1"/>
  <c r="AW150" i="1" s="1"/>
  <c r="L877" i="1"/>
  <c r="K878" i="1"/>
  <c r="F151" i="1" s="1"/>
  <c r="AW151" i="1" s="1"/>
  <c r="L878" i="1"/>
  <c r="L872" i="1"/>
  <c r="K872" i="1"/>
  <c r="F142" i="1" s="1"/>
  <c r="AW142" i="1" s="1"/>
  <c r="Q151" i="1"/>
  <c r="BH151" i="1" s="1"/>
  <c r="R150" i="1"/>
  <c r="BI150" i="1" s="1"/>
  <c r="Q150" i="1"/>
  <c r="BH150" i="1" s="1"/>
  <c r="P150" i="1"/>
  <c r="BC150" i="1" s="1"/>
  <c r="O150" i="1"/>
  <c r="BF150" i="1" s="1"/>
  <c r="N150" i="1"/>
  <c r="BA150" i="1" s="1"/>
  <c r="L150" i="1"/>
  <c r="BG150" i="1" s="1"/>
  <c r="K150" i="1"/>
  <c r="BB150" i="1" s="1"/>
  <c r="J150" i="1"/>
  <c r="BE150" i="1" s="1"/>
  <c r="I150" i="1"/>
  <c r="AZ150" i="1" s="1"/>
  <c r="R148" i="1"/>
  <c r="BI148" i="1" s="1"/>
  <c r="Q148" i="1"/>
  <c r="BH148" i="1" s="1"/>
  <c r="R147" i="1"/>
  <c r="BI147" i="1" s="1"/>
  <c r="Q147" i="1"/>
  <c r="BH147" i="1" s="1"/>
  <c r="P147" i="1"/>
  <c r="O147" i="1"/>
  <c r="N147" i="1"/>
  <c r="L147" i="1"/>
  <c r="K147" i="1"/>
  <c r="R145" i="1"/>
  <c r="BI145" i="1" s="1"/>
  <c r="Q145" i="1"/>
  <c r="BH145" i="1" s="1"/>
  <c r="P145" i="1"/>
  <c r="BC145" i="1" s="1"/>
  <c r="O145" i="1"/>
  <c r="BF145" i="1" s="1"/>
  <c r="N145" i="1"/>
  <c r="BA145" i="1" s="1"/>
  <c r="L145" i="1"/>
  <c r="BG145" i="1" s="1"/>
  <c r="K145" i="1"/>
  <c r="BB145" i="1" s="1"/>
  <c r="J145" i="1"/>
  <c r="BE145" i="1" s="1"/>
  <c r="I145" i="1"/>
  <c r="AZ145" i="1" s="1"/>
  <c r="R144" i="1"/>
  <c r="BI144" i="1" s="1"/>
  <c r="Q144" i="1"/>
  <c r="BH144" i="1" s="1"/>
  <c r="P144" i="1"/>
  <c r="BC144" i="1" s="1"/>
  <c r="O144" i="1"/>
  <c r="BF144" i="1" s="1"/>
  <c r="N144" i="1"/>
  <c r="BA144" i="1" s="1"/>
  <c r="L144" i="1"/>
  <c r="BG144" i="1" s="1"/>
  <c r="K144" i="1"/>
  <c r="BB144" i="1" s="1"/>
  <c r="J144" i="1"/>
  <c r="BE144" i="1" s="1"/>
  <c r="I144" i="1"/>
  <c r="AZ144" i="1" s="1"/>
  <c r="R143" i="1"/>
  <c r="BI143" i="1" s="1"/>
  <c r="Q143" i="1"/>
  <c r="BH143" i="1" s="1"/>
  <c r="P143" i="1"/>
  <c r="BC143" i="1" s="1"/>
  <c r="O143" i="1"/>
  <c r="BF143" i="1" s="1"/>
  <c r="N143" i="1"/>
  <c r="BA143" i="1" s="1"/>
  <c r="L143" i="1"/>
  <c r="BG143" i="1" s="1"/>
  <c r="K143" i="1"/>
  <c r="BB143" i="1" s="1"/>
  <c r="J143" i="1"/>
  <c r="BE143" i="1" s="1"/>
  <c r="I143" i="1"/>
  <c r="AZ143" i="1" s="1"/>
  <c r="H143" i="1"/>
  <c r="AY143" i="1" s="1"/>
  <c r="G143" i="1"/>
  <c r="AX143" i="1" s="1"/>
  <c r="F143" i="1"/>
  <c r="AW143" i="1" s="1"/>
  <c r="R140" i="1"/>
  <c r="BI140" i="1" s="1"/>
  <c r="Q140" i="1"/>
  <c r="BH140" i="1" s="1"/>
  <c r="D220" i="1"/>
  <c r="AU220" i="1" s="1"/>
  <c r="D219" i="1"/>
  <c r="AU219" i="1" s="1"/>
  <c r="D214" i="1"/>
  <c r="AU214" i="1" s="1"/>
  <c r="D213" i="1"/>
  <c r="AU213" i="1" s="1"/>
  <c r="D212" i="1"/>
  <c r="AU212" i="1" s="1"/>
  <c r="D210" i="1"/>
  <c r="AU210" i="1" s="1"/>
  <c r="AU197" i="1"/>
  <c r="AU196" i="1"/>
  <c r="AU191" i="1"/>
  <c r="AU190" i="1"/>
  <c r="AU189" i="1"/>
  <c r="AU187" i="1"/>
  <c r="AU174" i="1"/>
  <c r="AU173" i="1"/>
  <c r="AU168" i="1"/>
  <c r="AU167" i="1"/>
  <c r="AU166" i="1"/>
  <c r="AU164" i="1"/>
  <c r="AU151" i="1"/>
  <c r="AU150" i="1"/>
  <c r="AU145" i="1"/>
  <c r="AU144" i="1"/>
  <c r="AU143" i="1"/>
  <c r="AU141" i="1"/>
  <c r="Q128" i="1"/>
  <c r="H128" i="1"/>
  <c r="G128" i="1"/>
  <c r="F128" i="1"/>
  <c r="AU128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R125" i="1"/>
  <c r="BI125" i="1" s="1"/>
  <c r="Q125" i="1"/>
  <c r="BH125" i="1" s="1"/>
  <c r="R124" i="1"/>
  <c r="BI124" i="1" s="1"/>
  <c r="Q124" i="1"/>
  <c r="BH124" i="1" s="1"/>
  <c r="P124" i="1"/>
  <c r="BC124" i="1" s="1"/>
  <c r="O124" i="1"/>
  <c r="BF124" i="1" s="1"/>
  <c r="N124" i="1"/>
  <c r="BA124" i="1" s="1"/>
  <c r="M124" i="1"/>
  <c r="BD124" i="1" s="1"/>
  <c r="L124" i="1"/>
  <c r="BG124" i="1" s="1"/>
  <c r="K124" i="1"/>
  <c r="BB124" i="1" s="1"/>
  <c r="J124" i="1"/>
  <c r="BE124" i="1" s="1"/>
  <c r="I124" i="1"/>
  <c r="AZ124" i="1" s="1"/>
  <c r="R122" i="1"/>
  <c r="Q122" i="1"/>
  <c r="P122" i="1"/>
  <c r="O122" i="1"/>
  <c r="N122" i="1"/>
  <c r="M122" i="1"/>
  <c r="L122" i="1"/>
  <c r="K122" i="1"/>
  <c r="J122" i="1"/>
  <c r="I122" i="1"/>
  <c r="R121" i="1"/>
  <c r="Q121" i="1"/>
  <c r="P121" i="1"/>
  <c r="O121" i="1"/>
  <c r="N121" i="1"/>
  <c r="M121" i="1"/>
  <c r="L121" i="1"/>
  <c r="K121" i="1"/>
  <c r="J121" i="1"/>
  <c r="I121" i="1"/>
  <c r="R120" i="1"/>
  <c r="BI120" i="1" s="1"/>
  <c r="Q120" i="1"/>
  <c r="BH120" i="1" s="1"/>
  <c r="P120" i="1"/>
  <c r="BC120" i="1" s="1"/>
  <c r="O120" i="1"/>
  <c r="BF120" i="1" s="1"/>
  <c r="N120" i="1"/>
  <c r="BA120" i="1" s="1"/>
  <c r="M120" i="1"/>
  <c r="BD120" i="1" s="1"/>
  <c r="L120" i="1"/>
  <c r="BG120" i="1" s="1"/>
  <c r="K120" i="1"/>
  <c r="BB120" i="1" s="1"/>
  <c r="J120" i="1"/>
  <c r="BE120" i="1" s="1"/>
  <c r="I120" i="1"/>
  <c r="AZ120" i="1" s="1"/>
  <c r="H120" i="1"/>
  <c r="G120" i="1"/>
  <c r="F120" i="1"/>
  <c r="AU120" i="1"/>
  <c r="H119" i="1"/>
  <c r="AY119" i="1" s="1"/>
  <c r="G119" i="1"/>
  <c r="AX119" i="1" s="1"/>
  <c r="F119" i="1"/>
  <c r="AW119" i="1" s="1"/>
  <c r="H118" i="1"/>
  <c r="G118" i="1"/>
  <c r="F118" i="1"/>
  <c r="Q117" i="1"/>
  <c r="AU118" i="1" l="1"/>
  <c r="AY128" i="1"/>
  <c r="AW118" i="1"/>
  <c r="AX120" i="1"/>
  <c r="BH122" i="1"/>
  <c r="BH128" i="1"/>
  <c r="AX118" i="1"/>
  <c r="AY120" i="1"/>
  <c r="BI122" i="1"/>
  <c r="AY127" i="1"/>
  <c r="AW120" i="1"/>
  <c r="AU122" i="1"/>
  <c r="BI127" i="1"/>
  <c r="AU121" i="1"/>
  <c r="BH121" i="1"/>
  <c r="AW128" i="1"/>
  <c r="AY118" i="1"/>
  <c r="BH127" i="1"/>
  <c r="BH117" i="1"/>
  <c r="BI121" i="1"/>
  <c r="AU127" i="1"/>
  <c r="AX128" i="1"/>
  <c r="P217" i="1"/>
  <c r="BC217" i="1" s="1"/>
  <c r="BC216" i="1"/>
  <c r="I217" i="1"/>
  <c r="AZ217" i="1" s="1"/>
  <c r="AZ216" i="1"/>
  <c r="L217" i="1"/>
  <c r="BG217" i="1" s="1"/>
  <c r="BG216" i="1"/>
  <c r="N217" i="1"/>
  <c r="BA217" i="1" s="1"/>
  <c r="BA216" i="1"/>
  <c r="J217" i="1"/>
  <c r="BE217" i="1" s="1"/>
  <c r="BE216" i="1"/>
  <c r="K217" i="1"/>
  <c r="BB217" i="1" s="1"/>
  <c r="BB216" i="1"/>
  <c r="O217" i="1"/>
  <c r="BF217" i="1" s="1"/>
  <c r="BF216" i="1"/>
  <c r="J194" i="1"/>
  <c r="BE194" i="1" s="1"/>
  <c r="BE193" i="1"/>
  <c r="N194" i="1"/>
  <c r="BA194" i="1" s="1"/>
  <c r="BA193" i="1"/>
  <c r="I194" i="1"/>
  <c r="AZ194" i="1" s="1"/>
  <c r="AZ193" i="1"/>
  <c r="K194" i="1"/>
  <c r="BB194" i="1" s="1"/>
  <c r="BB193" i="1"/>
  <c r="L194" i="1"/>
  <c r="BG194" i="1" s="1"/>
  <c r="BG193" i="1"/>
  <c r="O194" i="1"/>
  <c r="BF194" i="1" s="1"/>
  <c r="BF193" i="1"/>
  <c r="P194" i="1"/>
  <c r="BC194" i="1" s="1"/>
  <c r="BC193" i="1"/>
  <c r="O171" i="1"/>
  <c r="BF171" i="1" s="1"/>
  <c r="BF170" i="1"/>
  <c r="P171" i="1"/>
  <c r="BC171" i="1" s="1"/>
  <c r="BC170" i="1"/>
  <c r="J171" i="1"/>
  <c r="BE171" i="1" s="1"/>
  <c r="BE170" i="1"/>
  <c r="K171" i="1"/>
  <c r="BB171" i="1" s="1"/>
  <c r="BB170" i="1"/>
  <c r="I171" i="1"/>
  <c r="AZ171" i="1" s="1"/>
  <c r="AZ170" i="1"/>
  <c r="L171" i="1"/>
  <c r="BG171" i="1" s="1"/>
  <c r="BG170" i="1"/>
  <c r="N171" i="1"/>
  <c r="BA171" i="1" s="1"/>
  <c r="BA170" i="1"/>
  <c r="K148" i="1"/>
  <c r="BB148" i="1" s="1"/>
  <c r="BB147" i="1"/>
  <c r="L148" i="1"/>
  <c r="BG148" i="1" s="1"/>
  <c r="BG147" i="1"/>
  <c r="N148" i="1"/>
  <c r="BA148" i="1" s="1"/>
  <c r="BA147" i="1"/>
  <c r="O148" i="1"/>
  <c r="BF148" i="1" s="1"/>
  <c r="BF147" i="1"/>
  <c r="P148" i="1"/>
  <c r="BC148" i="1" s="1"/>
  <c r="BC147" i="1"/>
  <c r="AX127" i="1"/>
  <c r="AW127" i="1"/>
  <c r="BG121" i="1"/>
  <c r="AZ122" i="1"/>
  <c r="BF127" i="1"/>
  <c r="BD121" i="1"/>
  <c r="BE122" i="1"/>
  <c r="BC127" i="1"/>
  <c r="BF121" i="1"/>
  <c r="BE127" i="1"/>
  <c r="BB127" i="1"/>
  <c r="BB121" i="1"/>
  <c r="BA127" i="1"/>
  <c r="BB122" i="1"/>
  <c r="AZ127" i="1"/>
  <c r="BD122" i="1"/>
  <c r="AZ121" i="1"/>
  <c r="BA122" i="1"/>
  <c r="BG127" i="1"/>
  <c r="BC122" i="1"/>
  <c r="BA121" i="1"/>
  <c r="BG122" i="1"/>
  <c r="BC121" i="1"/>
  <c r="BE121" i="1"/>
  <c r="BF122" i="1"/>
  <c r="BD127" i="1"/>
  <c r="E245" i="1"/>
  <c r="E237" i="1"/>
  <c r="M351" i="1"/>
  <c r="AA236" i="1"/>
  <c r="E244" i="1"/>
  <c r="D244" i="1"/>
  <c r="E235" i="1"/>
  <c r="E239" i="1"/>
  <c r="D239" i="1"/>
  <c r="E238" i="1"/>
  <c r="D238" i="1"/>
  <c r="G330" i="1"/>
  <c r="L330" i="1"/>
  <c r="I330" i="1"/>
  <c r="K330" i="1"/>
  <c r="H330" i="1"/>
  <c r="J330" i="1"/>
  <c r="F330" i="1"/>
  <c r="M330" i="1"/>
  <c r="J376" i="1"/>
  <c r="J375" i="1"/>
  <c r="L375" i="1"/>
  <c r="I375" i="1" s="1"/>
  <c r="K376" i="1"/>
  <c r="H376" i="1" s="1"/>
  <c r="Q221" i="1"/>
  <c r="Q152" i="1"/>
  <c r="Q198" i="1"/>
  <c r="Q175" i="1"/>
  <c r="I125" i="1"/>
  <c r="AZ125" i="1" s="1"/>
  <c r="P125" i="1"/>
  <c r="BC125" i="1" s="1"/>
  <c r="J125" i="1"/>
  <c r="BE125" i="1" s="1"/>
  <c r="O125" i="1"/>
  <c r="BF125" i="1" s="1"/>
  <c r="K125" i="1"/>
  <c r="BB125" i="1" s="1"/>
  <c r="Q129" i="1"/>
  <c r="L125" i="1"/>
  <c r="BG125" i="1" s="1"/>
  <c r="M125" i="1"/>
  <c r="BD125" i="1" s="1"/>
  <c r="N125" i="1"/>
  <c r="BA125" i="1" s="1"/>
  <c r="I73" i="1" l="1"/>
  <c r="J73" i="1"/>
  <c r="L2449" i="1"/>
  <c r="M2449" i="1"/>
  <c r="W245" i="1" s="1"/>
  <c r="L2411" i="1"/>
  <c r="M2411" i="1"/>
  <c r="V245" i="1" s="1"/>
  <c r="L2373" i="1"/>
  <c r="M2373" i="1"/>
  <c r="L2335" i="1"/>
  <c r="M2335" i="1"/>
  <c r="U245" i="1" s="1"/>
  <c r="L2297" i="1"/>
  <c r="M2297" i="1"/>
  <c r="T245" i="1" s="1"/>
  <c r="L2259" i="1"/>
  <c r="M2259" i="1"/>
  <c r="L2221" i="1"/>
  <c r="M2221" i="1"/>
  <c r="S245" i="1" s="1"/>
  <c r="L2183" i="1"/>
  <c r="M2183" i="1"/>
  <c r="R245" i="1" s="1"/>
  <c r="L2145" i="1"/>
  <c r="M2145" i="1"/>
  <c r="L2107" i="1"/>
  <c r="M2107" i="1"/>
  <c r="Q245" i="1" s="1"/>
  <c r="L2069" i="1"/>
  <c r="M2069" i="1"/>
  <c r="P245" i="1" s="1"/>
  <c r="L2031" i="1"/>
  <c r="M2031" i="1"/>
  <c r="L1993" i="1"/>
  <c r="M1993" i="1"/>
  <c r="O245" i="1" s="1"/>
  <c r="L1955" i="1"/>
  <c r="M1955" i="1"/>
  <c r="N245" i="1" s="1"/>
  <c r="L1917" i="1"/>
  <c r="M1917" i="1"/>
  <c r="L1879" i="1"/>
  <c r="M1879" i="1"/>
  <c r="M245" i="1" s="1"/>
  <c r="L1841" i="1"/>
  <c r="M1841" i="1"/>
  <c r="L245" i="1" s="1"/>
  <c r="L1803" i="1"/>
  <c r="M1803" i="1"/>
  <c r="L1765" i="1"/>
  <c r="M1765" i="1"/>
  <c r="K245" i="1" s="1"/>
  <c r="L1727" i="1"/>
  <c r="M1727" i="1"/>
  <c r="J245" i="1" s="1"/>
  <c r="L1689" i="1"/>
  <c r="M1689" i="1"/>
  <c r="L1651" i="1"/>
  <c r="M1651" i="1"/>
  <c r="I245" i="1" s="1"/>
  <c r="L1613" i="1"/>
  <c r="M1613" i="1"/>
  <c r="M1575" i="1"/>
  <c r="L1575" i="1"/>
  <c r="P246" i="1" l="1"/>
  <c r="L246" i="1"/>
  <c r="T246" i="1"/>
  <c r="J246" i="1"/>
  <c r="R246" i="1"/>
  <c r="H245" i="1"/>
  <c r="H246" i="1" s="1"/>
  <c r="N246" i="1"/>
  <c r="V246" i="1"/>
  <c r="K128" i="1"/>
  <c r="BB128" i="1" s="1"/>
  <c r="J128" i="1"/>
  <c r="N128" i="1"/>
  <c r="M128" i="1"/>
  <c r="I128" i="1"/>
  <c r="AZ128" i="1" s="1"/>
  <c r="L128" i="1"/>
  <c r="BG128" i="1" s="1"/>
  <c r="P128" i="1"/>
  <c r="BC128" i="1" s="1"/>
  <c r="O128" i="1"/>
  <c r="BA128" i="1" l="1"/>
  <c r="BE128" i="1"/>
  <c r="BD128" i="1"/>
  <c r="BF128" i="1"/>
  <c r="J129" i="1"/>
  <c r="L129" i="1"/>
  <c r="M129" i="1"/>
  <c r="N129" i="1"/>
  <c r="P129" i="1"/>
  <c r="I129" i="1"/>
  <c r="K129" i="1"/>
  <c r="O129" i="1"/>
  <c r="D66" i="1"/>
  <c r="D67" i="1" s="1"/>
  <c r="D77" i="1" s="1"/>
  <c r="E66" i="1"/>
  <c r="E67" i="1" s="1"/>
  <c r="E77" i="1" s="1"/>
  <c r="F66" i="1"/>
  <c r="F67" i="1" s="1"/>
  <c r="F77" i="1" s="1"/>
  <c r="G102" i="1"/>
  <c r="I102" i="1"/>
  <c r="J102" i="1"/>
  <c r="K102" i="1"/>
  <c r="M102" i="1"/>
  <c r="L995" i="1"/>
  <c r="L102" i="1" s="1"/>
  <c r="H995" i="1"/>
  <c r="H102" i="1" s="1"/>
  <c r="F995" i="1"/>
  <c r="F102" i="1" s="1"/>
  <c r="F80" i="1" l="1"/>
  <c r="F82" i="1"/>
  <c r="D82" i="1"/>
  <c r="D80" i="1"/>
  <c r="E82" i="1"/>
  <c r="E80" i="1"/>
  <c r="F97" i="1"/>
  <c r="G97" i="1"/>
  <c r="H97" i="1"/>
  <c r="I97" i="1"/>
  <c r="J97" i="1"/>
  <c r="K97" i="1"/>
  <c r="L97" i="1"/>
  <c r="M97" i="1"/>
  <c r="F96" i="1"/>
  <c r="G96" i="1"/>
  <c r="H96" i="1"/>
  <c r="I96" i="1"/>
  <c r="J96" i="1"/>
  <c r="K96" i="1"/>
  <c r="L96" i="1"/>
  <c r="M96" i="1"/>
  <c r="F95" i="1"/>
  <c r="G95" i="1"/>
  <c r="H95" i="1"/>
  <c r="I95" i="1"/>
  <c r="J95" i="1"/>
  <c r="K95" i="1"/>
  <c r="L95" i="1"/>
  <c r="M95" i="1"/>
  <c r="D11" i="1"/>
  <c r="E11" i="1"/>
  <c r="F11" i="1"/>
  <c r="G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Y12" i="1"/>
  <c r="Z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Y13" i="1"/>
  <c r="Z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Y14" i="1"/>
  <c r="Z14" i="1"/>
  <c r="K2449" i="1"/>
  <c r="J2449" i="1"/>
  <c r="I2449" i="1"/>
  <c r="H2449" i="1"/>
  <c r="G2449" i="1"/>
  <c r="F2449" i="1"/>
  <c r="E2449" i="1"/>
  <c r="N2449" i="1"/>
  <c r="D2449" i="1"/>
  <c r="M2440" i="1"/>
  <c r="M2442" i="1" s="1"/>
  <c r="M2450" i="1" s="1"/>
  <c r="L2440" i="1"/>
  <c r="L2442" i="1" s="1"/>
  <c r="L2450" i="1" s="1"/>
  <c r="K2440" i="1"/>
  <c r="K2442" i="1" s="1"/>
  <c r="J2440" i="1"/>
  <c r="J2442" i="1" s="1"/>
  <c r="I2440" i="1"/>
  <c r="I2442" i="1" s="1"/>
  <c r="H2440" i="1"/>
  <c r="H2442" i="1" s="1"/>
  <c r="G2440" i="1"/>
  <c r="G2442" i="1" s="1"/>
  <c r="F2440" i="1"/>
  <c r="F2442" i="1" s="1"/>
  <c r="E2440" i="1"/>
  <c r="E2442" i="1" s="1"/>
  <c r="N2440" i="1"/>
  <c r="N2442" i="1" s="1"/>
  <c r="D2440" i="1"/>
  <c r="D2442" i="1" s="1"/>
  <c r="K2411" i="1"/>
  <c r="J2411" i="1"/>
  <c r="I2411" i="1"/>
  <c r="H2411" i="1"/>
  <c r="G2411" i="1"/>
  <c r="F2411" i="1"/>
  <c r="E2411" i="1"/>
  <c r="N2411" i="1"/>
  <c r="D2411" i="1"/>
  <c r="M2402" i="1"/>
  <c r="M2404" i="1" s="1"/>
  <c r="M2412" i="1" s="1"/>
  <c r="L2402" i="1"/>
  <c r="L2404" i="1" s="1"/>
  <c r="L2412" i="1" s="1"/>
  <c r="K2402" i="1"/>
  <c r="K2404" i="1" s="1"/>
  <c r="J2402" i="1"/>
  <c r="J2404" i="1" s="1"/>
  <c r="I2402" i="1"/>
  <c r="I2404" i="1" s="1"/>
  <c r="H2402" i="1"/>
  <c r="H2404" i="1" s="1"/>
  <c r="G2402" i="1"/>
  <c r="G2404" i="1" s="1"/>
  <c r="F2402" i="1"/>
  <c r="F2404" i="1" s="1"/>
  <c r="E2402" i="1"/>
  <c r="E2404" i="1" s="1"/>
  <c r="N2402" i="1"/>
  <c r="N2404" i="1" s="1"/>
  <c r="D2402" i="1"/>
  <c r="D2404" i="1" s="1"/>
  <c r="K2373" i="1"/>
  <c r="P151" i="1" s="1"/>
  <c r="J2373" i="1"/>
  <c r="P174" i="1" s="1"/>
  <c r="I2373" i="1"/>
  <c r="P197" i="1" s="1"/>
  <c r="H2373" i="1"/>
  <c r="G2373" i="1"/>
  <c r="P220" i="1" s="1"/>
  <c r="F2373" i="1"/>
  <c r="E2373" i="1"/>
  <c r="N2373" i="1"/>
  <c r="D2373" i="1"/>
  <c r="M2364" i="1"/>
  <c r="M2366" i="1" s="1"/>
  <c r="M2374" i="1" s="1"/>
  <c r="L2364" i="1"/>
  <c r="L2366" i="1" s="1"/>
  <c r="L2374" i="1" s="1"/>
  <c r="K2364" i="1"/>
  <c r="K2366" i="1" s="1"/>
  <c r="J2364" i="1"/>
  <c r="J2366" i="1" s="1"/>
  <c r="I2364" i="1"/>
  <c r="I2366" i="1" s="1"/>
  <c r="H2364" i="1"/>
  <c r="H2366" i="1" s="1"/>
  <c r="G2364" i="1"/>
  <c r="G2366" i="1" s="1"/>
  <c r="F2364" i="1"/>
  <c r="F2366" i="1" s="1"/>
  <c r="E2364" i="1"/>
  <c r="E2366" i="1" s="1"/>
  <c r="N2364" i="1"/>
  <c r="N2366" i="1" s="1"/>
  <c r="D2364" i="1"/>
  <c r="D2366" i="1" s="1"/>
  <c r="K2335" i="1"/>
  <c r="J2335" i="1"/>
  <c r="I2335" i="1"/>
  <c r="H2335" i="1"/>
  <c r="G2335" i="1"/>
  <c r="F2335" i="1"/>
  <c r="E2335" i="1"/>
  <c r="N2335" i="1"/>
  <c r="D2335" i="1"/>
  <c r="M2326" i="1"/>
  <c r="M2328" i="1" s="1"/>
  <c r="M2336" i="1" s="1"/>
  <c r="L2326" i="1"/>
  <c r="L2328" i="1" s="1"/>
  <c r="L2336" i="1" s="1"/>
  <c r="K2326" i="1"/>
  <c r="K2328" i="1" s="1"/>
  <c r="J2326" i="1"/>
  <c r="J2328" i="1" s="1"/>
  <c r="I2326" i="1"/>
  <c r="I2328" i="1" s="1"/>
  <c r="H2326" i="1"/>
  <c r="H2328" i="1" s="1"/>
  <c r="G2326" i="1"/>
  <c r="G2328" i="1" s="1"/>
  <c r="F2326" i="1"/>
  <c r="F2328" i="1" s="1"/>
  <c r="E2326" i="1"/>
  <c r="E2328" i="1" s="1"/>
  <c r="N2326" i="1"/>
  <c r="N2328" i="1" s="1"/>
  <c r="D2326" i="1"/>
  <c r="D2328" i="1" s="1"/>
  <c r="K2297" i="1"/>
  <c r="J2297" i="1"/>
  <c r="I2297" i="1"/>
  <c r="H2297" i="1"/>
  <c r="G2297" i="1"/>
  <c r="F2297" i="1"/>
  <c r="E2297" i="1"/>
  <c r="N2297" i="1"/>
  <c r="D2297" i="1"/>
  <c r="M2288" i="1"/>
  <c r="M2290" i="1" s="1"/>
  <c r="M2298" i="1" s="1"/>
  <c r="L2288" i="1"/>
  <c r="L2290" i="1" s="1"/>
  <c r="L2298" i="1" s="1"/>
  <c r="K2288" i="1"/>
  <c r="K2290" i="1" s="1"/>
  <c r="J2288" i="1"/>
  <c r="J2290" i="1" s="1"/>
  <c r="I2288" i="1"/>
  <c r="I2290" i="1" s="1"/>
  <c r="H2288" i="1"/>
  <c r="H2290" i="1" s="1"/>
  <c r="G2288" i="1"/>
  <c r="G2290" i="1" s="1"/>
  <c r="F2288" i="1"/>
  <c r="F2290" i="1" s="1"/>
  <c r="E2288" i="1"/>
  <c r="E2290" i="1" s="1"/>
  <c r="N2288" i="1"/>
  <c r="N2290" i="1" s="1"/>
  <c r="D2288" i="1"/>
  <c r="D2290" i="1" s="1"/>
  <c r="K2259" i="1"/>
  <c r="O151" i="1" s="1"/>
  <c r="J2259" i="1"/>
  <c r="O174" i="1" s="1"/>
  <c r="I2259" i="1"/>
  <c r="O197" i="1" s="1"/>
  <c r="H2259" i="1"/>
  <c r="G2259" i="1"/>
  <c r="O220" i="1" s="1"/>
  <c r="F2259" i="1"/>
  <c r="E2259" i="1"/>
  <c r="N2259" i="1"/>
  <c r="D2259" i="1"/>
  <c r="M2250" i="1"/>
  <c r="M2252" i="1" s="1"/>
  <c r="M2260" i="1" s="1"/>
  <c r="L2250" i="1"/>
  <c r="L2252" i="1" s="1"/>
  <c r="L2260" i="1" s="1"/>
  <c r="K2250" i="1"/>
  <c r="K2252" i="1" s="1"/>
  <c r="J2250" i="1"/>
  <c r="J2252" i="1" s="1"/>
  <c r="I2250" i="1"/>
  <c r="I2252" i="1" s="1"/>
  <c r="H2250" i="1"/>
  <c r="H2252" i="1" s="1"/>
  <c r="G2250" i="1"/>
  <c r="G2252" i="1" s="1"/>
  <c r="F2250" i="1"/>
  <c r="F2252" i="1" s="1"/>
  <c r="E2250" i="1"/>
  <c r="E2252" i="1" s="1"/>
  <c r="N2250" i="1"/>
  <c r="N2252" i="1" s="1"/>
  <c r="D2250" i="1"/>
  <c r="D2252" i="1" s="1"/>
  <c r="K2221" i="1"/>
  <c r="J2221" i="1"/>
  <c r="I2221" i="1"/>
  <c r="H2221" i="1"/>
  <c r="G2221" i="1"/>
  <c r="F2221" i="1"/>
  <c r="E2221" i="1"/>
  <c r="N2221" i="1"/>
  <c r="D2221" i="1"/>
  <c r="M2212" i="1"/>
  <c r="M2214" i="1" s="1"/>
  <c r="M2222" i="1" s="1"/>
  <c r="L2212" i="1"/>
  <c r="L2214" i="1" s="1"/>
  <c r="L2222" i="1" s="1"/>
  <c r="K2212" i="1"/>
  <c r="K2214" i="1" s="1"/>
  <c r="J2212" i="1"/>
  <c r="J2214" i="1" s="1"/>
  <c r="I2212" i="1"/>
  <c r="I2214" i="1" s="1"/>
  <c r="H2212" i="1"/>
  <c r="H2214" i="1" s="1"/>
  <c r="G2212" i="1"/>
  <c r="G2214" i="1" s="1"/>
  <c r="F2212" i="1"/>
  <c r="F2214" i="1" s="1"/>
  <c r="E2212" i="1"/>
  <c r="E2214" i="1" s="1"/>
  <c r="N2212" i="1"/>
  <c r="N2214" i="1" s="1"/>
  <c r="D2212" i="1"/>
  <c r="D2214" i="1" s="1"/>
  <c r="K2183" i="1"/>
  <c r="J2183" i="1"/>
  <c r="I2183" i="1"/>
  <c r="H2183" i="1"/>
  <c r="G2183" i="1"/>
  <c r="F2183" i="1"/>
  <c r="E2183" i="1"/>
  <c r="N2183" i="1"/>
  <c r="D2183" i="1"/>
  <c r="M2174" i="1"/>
  <c r="M2176" i="1" s="1"/>
  <c r="M2184" i="1" s="1"/>
  <c r="L2174" i="1"/>
  <c r="L2176" i="1" s="1"/>
  <c r="L2184" i="1" s="1"/>
  <c r="K2174" i="1"/>
  <c r="K2176" i="1" s="1"/>
  <c r="J2174" i="1"/>
  <c r="J2176" i="1" s="1"/>
  <c r="I2174" i="1"/>
  <c r="I2176" i="1" s="1"/>
  <c r="H2174" i="1"/>
  <c r="H2176" i="1" s="1"/>
  <c r="G2174" i="1"/>
  <c r="G2176" i="1" s="1"/>
  <c r="F2174" i="1"/>
  <c r="F2176" i="1" s="1"/>
  <c r="E2174" i="1"/>
  <c r="E2176" i="1" s="1"/>
  <c r="N2174" i="1"/>
  <c r="N2176" i="1" s="1"/>
  <c r="D2174" i="1"/>
  <c r="D2176" i="1" s="1"/>
  <c r="K2145" i="1"/>
  <c r="N151" i="1" s="1"/>
  <c r="J2145" i="1"/>
  <c r="N174" i="1" s="1"/>
  <c r="I2145" i="1"/>
  <c r="N197" i="1" s="1"/>
  <c r="H2145" i="1"/>
  <c r="G2145" i="1"/>
  <c r="N220" i="1" s="1"/>
  <c r="F2145" i="1"/>
  <c r="E2145" i="1"/>
  <c r="N2145" i="1"/>
  <c r="D2145" i="1"/>
  <c r="M2136" i="1"/>
  <c r="M2138" i="1" s="1"/>
  <c r="M2146" i="1" s="1"/>
  <c r="M100" i="1" s="1"/>
  <c r="L2136" i="1"/>
  <c r="L2138" i="1" s="1"/>
  <c r="L2146" i="1" s="1"/>
  <c r="L100" i="1" s="1"/>
  <c r="K2136" i="1"/>
  <c r="K2138" i="1" s="1"/>
  <c r="J2136" i="1"/>
  <c r="J2138" i="1" s="1"/>
  <c r="I2136" i="1"/>
  <c r="I2138" i="1" s="1"/>
  <c r="H2136" i="1"/>
  <c r="H2138" i="1" s="1"/>
  <c r="G2136" i="1"/>
  <c r="G2138" i="1" s="1"/>
  <c r="F2136" i="1"/>
  <c r="F2138" i="1" s="1"/>
  <c r="E2136" i="1"/>
  <c r="E2138" i="1" s="1"/>
  <c r="N2136" i="1"/>
  <c r="N2138" i="1" s="1"/>
  <c r="D2136" i="1"/>
  <c r="D2138" i="1" s="1"/>
  <c r="K2107" i="1"/>
  <c r="J2107" i="1"/>
  <c r="I2107" i="1"/>
  <c r="H2107" i="1"/>
  <c r="G2107" i="1"/>
  <c r="F2107" i="1"/>
  <c r="E2107" i="1"/>
  <c r="N2107" i="1"/>
  <c r="D2107" i="1"/>
  <c r="M2098" i="1"/>
  <c r="M2100" i="1" s="1"/>
  <c r="M2108" i="1" s="1"/>
  <c r="L2098" i="1"/>
  <c r="L2100" i="1" s="1"/>
  <c r="L2108" i="1" s="1"/>
  <c r="K2098" i="1"/>
  <c r="K2100" i="1" s="1"/>
  <c r="J2098" i="1"/>
  <c r="J2100" i="1" s="1"/>
  <c r="I2098" i="1"/>
  <c r="I2100" i="1" s="1"/>
  <c r="H2098" i="1"/>
  <c r="H2100" i="1" s="1"/>
  <c r="G2098" i="1"/>
  <c r="G2100" i="1" s="1"/>
  <c r="F2098" i="1"/>
  <c r="F2100" i="1" s="1"/>
  <c r="E2098" i="1"/>
  <c r="E2100" i="1" s="1"/>
  <c r="N2098" i="1"/>
  <c r="N2100" i="1" s="1"/>
  <c r="D2098" i="1"/>
  <c r="D2100" i="1" s="1"/>
  <c r="K2069" i="1"/>
  <c r="J2069" i="1"/>
  <c r="I2069" i="1"/>
  <c r="H2069" i="1"/>
  <c r="G2069" i="1"/>
  <c r="F2069" i="1"/>
  <c r="E2069" i="1"/>
  <c r="N2069" i="1"/>
  <c r="D2069" i="1"/>
  <c r="M2060" i="1"/>
  <c r="M2062" i="1" s="1"/>
  <c r="M2070" i="1" s="1"/>
  <c r="L2060" i="1"/>
  <c r="L2062" i="1" s="1"/>
  <c r="L2070" i="1" s="1"/>
  <c r="K2060" i="1"/>
  <c r="K2062" i="1" s="1"/>
  <c r="J2060" i="1"/>
  <c r="J2062" i="1" s="1"/>
  <c r="I2060" i="1"/>
  <c r="I2062" i="1" s="1"/>
  <c r="H2060" i="1"/>
  <c r="H2062" i="1" s="1"/>
  <c r="G2060" i="1"/>
  <c r="G2062" i="1" s="1"/>
  <c r="F2060" i="1"/>
  <c r="F2062" i="1" s="1"/>
  <c r="E2060" i="1"/>
  <c r="E2062" i="1" s="1"/>
  <c r="N2060" i="1"/>
  <c r="N2062" i="1" s="1"/>
  <c r="D2060" i="1"/>
  <c r="D2062" i="1" s="1"/>
  <c r="K2031" i="1"/>
  <c r="M151" i="1" s="1"/>
  <c r="BD151" i="1" s="1"/>
  <c r="J2031" i="1"/>
  <c r="M174" i="1" s="1"/>
  <c r="BD174" i="1" s="1"/>
  <c r="I2031" i="1"/>
  <c r="M197" i="1" s="1"/>
  <c r="BD197" i="1" s="1"/>
  <c r="H2031" i="1"/>
  <c r="G2031" i="1"/>
  <c r="M220" i="1" s="1"/>
  <c r="BD220" i="1" s="1"/>
  <c r="F2031" i="1"/>
  <c r="E2031" i="1"/>
  <c r="N2031" i="1"/>
  <c r="D2031" i="1"/>
  <c r="M2022" i="1"/>
  <c r="M2024" i="1" s="1"/>
  <c r="M2032" i="1" s="1"/>
  <c r="L2022" i="1"/>
  <c r="L2024" i="1" s="1"/>
  <c r="L2032" i="1" s="1"/>
  <c r="K2022" i="1"/>
  <c r="K2024" i="1" s="1"/>
  <c r="J2022" i="1"/>
  <c r="J2024" i="1" s="1"/>
  <c r="I2022" i="1"/>
  <c r="I2024" i="1" s="1"/>
  <c r="H2022" i="1"/>
  <c r="H2024" i="1" s="1"/>
  <c r="G2022" i="1"/>
  <c r="G2024" i="1" s="1"/>
  <c r="F2022" i="1"/>
  <c r="F2024" i="1" s="1"/>
  <c r="E2022" i="1"/>
  <c r="E2024" i="1" s="1"/>
  <c r="N2022" i="1"/>
  <c r="N2024" i="1" s="1"/>
  <c r="D2022" i="1"/>
  <c r="D2024" i="1" s="1"/>
  <c r="K1993" i="1"/>
  <c r="J1993" i="1"/>
  <c r="I1993" i="1"/>
  <c r="H1993" i="1"/>
  <c r="G1993" i="1"/>
  <c r="F1993" i="1"/>
  <c r="E1993" i="1"/>
  <c r="N1993" i="1"/>
  <c r="D1993" i="1"/>
  <c r="M1984" i="1"/>
  <c r="M1986" i="1" s="1"/>
  <c r="M1994" i="1" s="1"/>
  <c r="L1984" i="1"/>
  <c r="L1986" i="1" s="1"/>
  <c r="L1994" i="1" s="1"/>
  <c r="K1984" i="1"/>
  <c r="K1986" i="1" s="1"/>
  <c r="J1984" i="1"/>
  <c r="J1986" i="1" s="1"/>
  <c r="I1984" i="1"/>
  <c r="I1986" i="1" s="1"/>
  <c r="H1984" i="1"/>
  <c r="H1986" i="1" s="1"/>
  <c r="G1984" i="1"/>
  <c r="G1986" i="1" s="1"/>
  <c r="F1984" i="1"/>
  <c r="F1986" i="1" s="1"/>
  <c r="E1984" i="1"/>
  <c r="E1986" i="1" s="1"/>
  <c r="N1984" i="1"/>
  <c r="N1986" i="1" s="1"/>
  <c r="D1984" i="1"/>
  <c r="D1986" i="1" s="1"/>
  <c r="K1955" i="1"/>
  <c r="J1955" i="1"/>
  <c r="I1955" i="1"/>
  <c r="H1955" i="1"/>
  <c r="G1955" i="1"/>
  <c r="F1955" i="1"/>
  <c r="E1955" i="1"/>
  <c r="N1955" i="1"/>
  <c r="D1955" i="1"/>
  <c r="M1946" i="1"/>
  <c r="M1948" i="1" s="1"/>
  <c r="M1956" i="1" s="1"/>
  <c r="L1946" i="1"/>
  <c r="L1948" i="1" s="1"/>
  <c r="L1956" i="1" s="1"/>
  <c r="K1946" i="1"/>
  <c r="K1948" i="1" s="1"/>
  <c r="J1946" i="1"/>
  <c r="J1948" i="1" s="1"/>
  <c r="I1946" i="1"/>
  <c r="I1948" i="1" s="1"/>
  <c r="H1946" i="1"/>
  <c r="H1948" i="1" s="1"/>
  <c r="G1946" i="1"/>
  <c r="G1948" i="1" s="1"/>
  <c r="F1946" i="1"/>
  <c r="F1948" i="1" s="1"/>
  <c r="E1946" i="1"/>
  <c r="E1948" i="1" s="1"/>
  <c r="N1946" i="1"/>
  <c r="N1948" i="1" s="1"/>
  <c r="D1946" i="1"/>
  <c r="D1948" i="1" s="1"/>
  <c r="K1917" i="1"/>
  <c r="L151" i="1" s="1"/>
  <c r="J1917" i="1"/>
  <c r="L174" i="1" s="1"/>
  <c r="I1917" i="1"/>
  <c r="L197" i="1" s="1"/>
  <c r="H1917" i="1"/>
  <c r="G1917" i="1"/>
  <c r="L220" i="1" s="1"/>
  <c r="F1917" i="1"/>
  <c r="E1917" i="1"/>
  <c r="N1917" i="1"/>
  <c r="D1917" i="1"/>
  <c r="M1908" i="1"/>
  <c r="M1910" i="1" s="1"/>
  <c r="M1918" i="1" s="1"/>
  <c r="L1908" i="1"/>
  <c r="L1910" i="1" s="1"/>
  <c r="L1918" i="1" s="1"/>
  <c r="K1908" i="1"/>
  <c r="K1910" i="1" s="1"/>
  <c r="J1908" i="1"/>
  <c r="J1910" i="1" s="1"/>
  <c r="I1908" i="1"/>
  <c r="I1910" i="1" s="1"/>
  <c r="H1908" i="1"/>
  <c r="H1910" i="1" s="1"/>
  <c r="G1908" i="1"/>
  <c r="G1910" i="1" s="1"/>
  <c r="F1908" i="1"/>
  <c r="F1910" i="1" s="1"/>
  <c r="E1908" i="1"/>
  <c r="E1910" i="1" s="1"/>
  <c r="N1908" i="1"/>
  <c r="N1910" i="1" s="1"/>
  <c r="D1908" i="1"/>
  <c r="D1910" i="1" s="1"/>
  <c r="K1879" i="1"/>
  <c r="J1879" i="1"/>
  <c r="I1879" i="1"/>
  <c r="H1879" i="1"/>
  <c r="G1879" i="1"/>
  <c r="F1879" i="1"/>
  <c r="E1879" i="1"/>
  <c r="N1879" i="1"/>
  <c r="D1879" i="1"/>
  <c r="M1870" i="1"/>
  <c r="M1872" i="1" s="1"/>
  <c r="M1880" i="1" s="1"/>
  <c r="L1870" i="1"/>
  <c r="L1872" i="1" s="1"/>
  <c r="L1880" i="1" s="1"/>
  <c r="K1870" i="1"/>
  <c r="K1872" i="1" s="1"/>
  <c r="J1870" i="1"/>
  <c r="J1872" i="1" s="1"/>
  <c r="I1870" i="1"/>
  <c r="I1872" i="1" s="1"/>
  <c r="H1870" i="1"/>
  <c r="H1872" i="1" s="1"/>
  <c r="G1870" i="1"/>
  <c r="G1872" i="1" s="1"/>
  <c r="F1870" i="1"/>
  <c r="F1872" i="1" s="1"/>
  <c r="E1870" i="1"/>
  <c r="E1872" i="1" s="1"/>
  <c r="N1870" i="1"/>
  <c r="N1872" i="1" s="1"/>
  <c r="D1870" i="1"/>
  <c r="D1872" i="1" s="1"/>
  <c r="K1841" i="1"/>
  <c r="J1841" i="1"/>
  <c r="I1841" i="1"/>
  <c r="H1841" i="1"/>
  <c r="G1841" i="1"/>
  <c r="F1841" i="1"/>
  <c r="E1841" i="1"/>
  <c r="N1841" i="1"/>
  <c r="D1841" i="1"/>
  <c r="M1832" i="1"/>
  <c r="M1834" i="1" s="1"/>
  <c r="M1842" i="1" s="1"/>
  <c r="L1832" i="1"/>
  <c r="L1834" i="1" s="1"/>
  <c r="L1842" i="1" s="1"/>
  <c r="K1832" i="1"/>
  <c r="K1834" i="1" s="1"/>
  <c r="J1832" i="1"/>
  <c r="J1834" i="1" s="1"/>
  <c r="I1832" i="1"/>
  <c r="I1834" i="1" s="1"/>
  <c r="H1832" i="1"/>
  <c r="H1834" i="1" s="1"/>
  <c r="G1832" i="1"/>
  <c r="G1834" i="1" s="1"/>
  <c r="F1832" i="1"/>
  <c r="F1834" i="1" s="1"/>
  <c r="E1832" i="1"/>
  <c r="E1834" i="1" s="1"/>
  <c r="N1832" i="1"/>
  <c r="N1834" i="1" s="1"/>
  <c r="D1832" i="1"/>
  <c r="D1834" i="1" s="1"/>
  <c r="K1803" i="1"/>
  <c r="J1803" i="1"/>
  <c r="K174" i="1" s="1"/>
  <c r="I1803" i="1"/>
  <c r="K197" i="1" s="1"/>
  <c r="H1803" i="1"/>
  <c r="G1803" i="1"/>
  <c r="K220" i="1" s="1"/>
  <c r="F1803" i="1"/>
  <c r="E1803" i="1"/>
  <c r="N1803" i="1"/>
  <c r="D1803" i="1"/>
  <c r="M1794" i="1"/>
  <c r="M1796" i="1" s="1"/>
  <c r="M1804" i="1" s="1"/>
  <c r="M99" i="1" s="1"/>
  <c r="L1794" i="1"/>
  <c r="L1796" i="1" s="1"/>
  <c r="L1804" i="1" s="1"/>
  <c r="L99" i="1" s="1"/>
  <c r="K1794" i="1"/>
  <c r="K1796" i="1" s="1"/>
  <c r="J1794" i="1"/>
  <c r="J1796" i="1" s="1"/>
  <c r="I1794" i="1"/>
  <c r="I1796" i="1" s="1"/>
  <c r="H1794" i="1"/>
  <c r="H1796" i="1" s="1"/>
  <c r="G1794" i="1"/>
  <c r="G1796" i="1" s="1"/>
  <c r="F1794" i="1"/>
  <c r="F1796" i="1" s="1"/>
  <c r="E1794" i="1"/>
  <c r="E1796" i="1" s="1"/>
  <c r="N1794" i="1"/>
  <c r="N1796" i="1" s="1"/>
  <c r="D1794" i="1"/>
  <c r="D1796" i="1" s="1"/>
  <c r="K1765" i="1"/>
  <c r="J1765" i="1"/>
  <c r="I1765" i="1"/>
  <c r="H1765" i="1"/>
  <c r="G1765" i="1"/>
  <c r="F1765" i="1"/>
  <c r="E1765" i="1"/>
  <c r="N1765" i="1"/>
  <c r="D1765" i="1"/>
  <c r="M1756" i="1"/>
  <c r="M1758" i="1" s="1"/>
  <c r="M1766" i="1" s="1"/>
  <c r="L1756" i="1"/>
  <c r="L1758" i="1" s="1"/>
  <c r="L1766" i="1" s="1"/>
  <c r="K1756" i="1"/>
  <c r="K1758" i="1" s="1"/>
  <c r="J1756" i="1"/>
  <c r="J1758" i="1" s="1"/>
  <c r="I1756" i="1"/>
  <c r="I1758" i="1" s="1"/>
  <c r="H1756" i="1"/>
  <c r="H1758" i="1" s="1"/>
  <c r="G1756" i="1"/>
  <c r="G1758" i="1" s="1"/>
  <c r="F1756" i="1"/>
  <c r="F1758" i="1" s="1"/>
  <c r="E1756" i="1"/>
  <c r="E1758" i="1" s="1"/>
  <c r="N1756" i="1"/>
  <c r="N1758" i="1" s="1"/>
  <c r="D1756" i="1"/>
  <c r="D1758" i="1" s="1"/>
  <c r="K1727" i="1"/>
  <c r="J1727" i="1"/>
  <c r="I1727" i="1"/>
  <c r="H1727" i="1"/>
  <c r="G1727" i="1"/>
  <c r="F1727" i="1"/>
  <c r="E1727" i="1"/>
  <c r="N1727" i="1"/>
  <c r="D1727" i="1"/>
  <c r="M1718" i="1"/>
  <c r="M1720" i="1" s="1"/>
  <c r="M1728" i="1" s="1"/>
  <c r="L1718" i="1"/>
  <c r="L1720" i="1" s="1"/>
  <c r="L1728" i="1" s="1"/>
  <c r="K1718" i="1"/>
  <c r="K1720" i="1" s="1"/>
  <c r="J1718" i="1"/>
  <c r="J1720" i="1" s="1"/>
  <c r="I1718" i="1"/>
  <c r="I1720" i="1" s="1"/>
  <c r="H1718" i="1"/>
  <c r="H1720" i="1" s="1"/>
  <c r="G1718" i="1"/>
  <c r="G1720" i="1" s="1"/>
  <c r="F1718" i="1"/>
  <c r="F1720" i="1" s="1"/>
  <c r="E1718" i="1"/>
  <c r="E1720" i="1" s="1"/>
  <c r="N1718" i="1"/>
  <c r="N1720" i="1" s="1"/>
  <c r="D1718" i="1"/>
  <c r="D1720" i="1" s="1"/>
  <c r="K1689" i="1"/>
  <c r="J151" i="1" s="1"/>
  <c r="J1689" i="1"/>
  <c r="I1689" i="1"/>
  <c r="J197" i="1" s="1"/>
  <c r="H1689" i="1"/>
  <c r="G1689" i="1"/>
  <c r="J220" i="1" s="1"/>
  <c r="F1689" i="1"/>
  <c r="E1689" i="1"/>
  <c r="N1689" i="1"/>
  <c r="D1689" i="1"/>
  <c r="M1680" i="1"/>
  <c r="M1682" i="1" s="1"/>
  <c r="M1690" i="1" s="1"/>
  <c r="L1680" i="1"/>
  <c r="L1682" i="1" s="1"/>
  <c r="L1690" i="1" s="1"/>
  <c r="K1680" i="1"/>
  <c r="K1682" i="1" s="1"/>
  <c r="J1680" i="1"/>
  <c r="J1682" i="1" s="1"/>
  <c r="I1680" i="1"/>
  <c r="I1682" i="1" s="1"/>
  <c r="H1680" i="1"/>
  <c r="H1682" i="1" s="1"/>
  <c r="G1680" i="1"/>
  <c r="G1682" i="1" s="1"/>
  <c r="F1680" i="1"/>
  <c r="F1682" i="1" s="1"/>
  <c r="E1680" i="1"/>
  <c r="E1682" i="1" s="1"/>
  <c r="N1680" i="1"/>
  <c r="N1682" i="1" s="1"/>
  <c r="D1680" i="1"/>
  <c r="D1682" i="1" s="1"/>
  <c r="K1651" i="1"/>
  <c r="J1651" i="1"/>
  <c r="I1651" i="1"/>
  <c r="H1651" i="1"/>
  <c r="G1651" i="1"/>
  <c r="F1651" i="1"/>
  <c r="E1651" i="1"/>
  <c r="N1651" i="1"/>
  <c r="D1651" i="1"/>
  <c r="M1642" i="1"/>
  <c r="M1644" i="1" s="1"/>
  <c r="M1652" i="1" s="1"/>
  <c r="L1642" i="1"/>
  <c r="L1644" i="1" s="1"/>
  <c r="L1652" i="1" s="1"/>
  <c r="K1642" i="1"/>
  <c r="K1644" i="1" s="1"/>
  <c r="J1642" i="1"/>
  <c r="J1644" i="1" s="1"/>
  <c r="I1642" i="1"/>
  <c r="I1644" i="1" s="1"/>
  <c r="H1642" i="1"/>
  <c r="H1644" i="1" s="1"/>
  <c r="G1642" i="1"/>
  <c r="G1644" i="1" s="1"/>
  <c r="F1642" i="1"/>
  <c r="F1644" i="1" s="1"/>
  <c r="E1642" i="1"/>
  <c r="E1644" i="1" s="1"/>
  <c r="N1642" i="1"/>
  <c r="N1644" i="1" s="1"/>
  <c r="D1642" i="1"/>
  <c r="D1644" i="1" s="1"/>
  <c r="K1613" i="1"/>
  <c r="J1613" i="1"/>
  <c r="I1613" i="1"/>
  <c r="H1613" i="1"/>
  <c r="G1613" i="1"/>
  <c r="F1613" i="1"/>
  <c r="E1613" i="1"/>
  <c r="N1613" i="1"/>
  <c r="D1613" i="1"/>
  <c r="M1604" i="1"/>
  <c r="M1606" i="1" s="1"/>
  <c r="M1614" i="1" s="1"/>
  <c r="L1604" i="1"/>
  <c r="L1606" i="1" s="1"/>
  <c r="L1614" i="1" s="1"/>
  <c r="K1604" i="1"/>
  <c r="K1606" i="1" s="1"/>
  <c r="J1604" i="1"/>
  <c r="J1606" i="1" s="1"/>
  <c r="I1604" i="1"/>
  <c r="I1606" i="1" s="1"/>
  <c r="H1604" i="1"/>
  <c r="H1606" i="1" s="1"/>
  <c r="G1604" i="1"/>
  <c r="G1606" i="1" s="1"/>
  <c r="F1604" i="1"/>
  <c r="F1606" i="1" s="1"/>
  <c r="E1604" i="1"/>
  <c r="E1606" i="1" s="1"/>
  <c r="N1604" i="1"/>
  <c r="N1606" i="1" s="1"/>
  <c r="D1604" i="1"/>
  <c r="D1606" i="1" s="1"/>
  <c r="K1575" i="1"/>
  <c r="I151" i="1" s="1"/>
  <c r="J1575" i="1"/>
  <c r="I174" i="1" s="1"/>
  <c r="I1575" i="1"/>
  <c r="H1575" i="1"/>
  <c r="G1575" i="1"/>
  <c r="F1575" i="1"/>
  <c r="E1575" i="1"/>
  <c r="N1575" i="1"/>
  <c r="D1575" i="1"/>
  <c r="M1566" i="1"/>
  <c r="M1568" i="1" s="1"/>
  <c r="M1576" i="1" s="1"/>
  <c r="M98" i="1" s="1"/>
  <c r="L1566" i="1"/>
  <c r="L1568" i="1" s="1"/>
  <c r="L1576" i="1" s="1"/>
  <c r="L98" i="1" s="1"/>
  <c r="K1566" i="1"/>
  <c r="K1568" i="1" s="1"/>
  <c r="J1566" i="1"/>
  <c r="J1568" i="1" s="1"/>
  <c r="I1566" i="1"/>
  <c r="I1568" i="1" s="1"/>
  <c r="H1566" i="1"/>
  <c r="H1568" i="1" s="1"/>
  <c r="G1566" i="1"/>
  <c r="G1568" i="1" s="1"/>
  <c r="F1566" i="1"/>
  <c r="F1568" i="1" s="1"/>
  <c r="E1566" i="1"/>
  <c r="E1568" i="1" s="1"/>
  <c r="N1566" i="1"/>
  <c r="N1568" i="1" s="1"/>
  <c r="D1566" i="1"/>
  <c r="D1568" i="1" s="1"/>
  <c r="K221" i="1" l="1"/>
  <c r="BB220" i="1"/>
  <c r="O221" i="1"/>
  <c r="BF220" i="1"/>
  <c r="J221" i="1"/>
  <c r="BE220" i="1"/>
  <c r="L221" i="1"/>
  <c r="BG220" i="1"/>
  <c r="N221" i="1"/>
  <c r="BA220" i="1"/>
  <c r="P221" i="1"/>
  <c r="BC220" i="1"/>
  <c r="L198" i="1"/>
  <c r="BG197" i="1"/>
  <c r="N198" i="1"/>
  <c r="BA197" i="1"/>
  <c r="J198" i="1"/>
  <c r="BE197" i="1"/>
  <c r="P198" i="1"/>
  <c r="BC197" i="1"/>
  <c r="K198" i="1"/>
  <c r="BB197" i="1"/>
  <c r="O198" i="1"/>
  <c r="BF197" i="1"/>
  <c r="L175" i="1"/>
  <c r="BG174" i="1"/>
  <c r="N175" i="1"/>
  <c r="BA174" i="1"/>
  <c r="P175" i="1"/>
  <c r="BC174" i="1"/>
  <c r="I175" i="1"/>
  <c r="AZ174" i="1"/>
  <c r="K175" i="1"/>
  <c r="BB174" i="1"/>
  <c r="O175" i="1"/>
  <c r="BF174" i="1"/>
  <c r="J152" i="1"/>
  <c r="BE151" i="1"/>
  <c r="L152" i="1"/>
  <c r="BG151" i="1"/>
  <c r="N152" i="1"/>
  <c r="BA151" i="1"/>
  <c r="P152" i="1"/>
  <c r="BC151" i="1"/>
  <c r="I152" i="1"/>
  <c r="AZ151" i="1"/>
  <c r="O152" i="1"/>
  <c r="BF151" i="1"/>
  <c r="M175" i="1"/>
  <c r="J174" i="1"/>
  <c r="I220" i="1"/>
  <c r="M221" i="1"/>
  <c r="I197" i="1"/>
  <c r="M198" i="1"/>
  <c r="K151" i="1"/>
  <c r="M152" i="1"/>
  <c r="H2260" i="1"/>
  <c r="K2146" i="1"/>
  <c r="K100" i="1" s="1"/>
  <c r="J2298" i="1"/>
  <c r="J2450" i="1"/>
  <c r="I1576" i="1"/>
  <c r="I98" i="1" s="1"/>
  <c r="F1804" i="1"/>
  <c r="F99" i="1" s="1"/>
  <c r="J1842" i="1"/>
  <c r="J1918" i="1"/>
  <c r="F1956" i="1"/>
  <c r="D1690" i="1"/>
  <c r="K1690" i="1"/>
  <c r="D1766" i="1"/>
  <c r="G1804" i="1"/>
  <c r="G99" i="1" s="1"/>
  <c r="D1918" i="1"/>
  <c r="D2146" i="1"/>
  <c r="J2108" i="1"/>
  <c r="J1652" i="1"/>
  <c r="G1614" i="1"/>
  <c r="K2108" i="1"/>
  <c r="N1956" i="1"/>
  <c r="J2184" i="1"/>
  <c r="G1994" i="1"/>
  <c r="G2070" i="1"/>
  <c r="I2184" i="1"/>
  <c r="E1576" i="1"/>
  <c r="E98" i="1" s="1"/>
  <c r="I1994" i="1"/>
  <c r="E2032" i="1"/>
  <c r="N1842" i="1"/>
  <c r="H1880" i="1"/>
  <c r="N1918" i="1"/>
  <c r="D1994" i="1"/>
  <c r="G2298" i="1"/>
  <c r="D2336" i="1"/>
  <c r="K2336" i="1"/>
  <c r="G2374" i="1"/>
  <c r="D2412" i="1"/>
  <c r="K2412" i="1"/>
  <c r="H1614" i="1"/>
  <c r="E1766" i="1"/>
  <c r="I1880" i="1"/>
  <c r="N1994" i="1"/>
  <c r="N2146" i="1"/>
  <c r="F2184" i="1"/>
  <c r="I2222" i="1"/>
  <c r="E2260" i="1"/>
  <c r="J2260" i="1"/>
  <c r="H2298" i="1"/>
  <c r="N2336" i="1"/>
  <c r="H2374" i="1"/>
  <c r="N2412" i="1"/>
  <c r="H2450" i="1"/>
  <c r="I2108" i="1"/>
  <c r="E2146" i="1"/>
  <c r="E100" i="1" s="1"/>
  <c r="J2222" i="1"/>
  <c r="I2298" i="1"/>
  <c r="I2450" i="1"/>
  <c r="I1690" i="1"/>
  <c r="H2070" i="1"/>
  <c r="H1652" i="1"/>
  <c r="N1576" i="1"/>
  <c r="F1614" i="1"/>
  <c r="I1652" i="1"/>
  <c r="N1880" i="1"/>
  <c r="D2374" i="1"/>
  <c r="K2374" i="1"/>
  <c r="G1690" i="1"/>
  <c r="J1728" i="1"/>
  <c r="F1766" i="1"/>
  <c r="J1880" i="1"/>
  <c r="G1880" i="1"/>
  <c r="I2260" i="1"/>
  <c r="D2298" i="1"/>
  <c r="D2450" i="1"/>
  <c r="K2450" i="1"/>
  <c r="K1994" i="1"/>
  <c r="H1690" i="1"/>
  <c r="G1842" i="1"/>
  <c r="D1880" i="1"/>
  <c r="K1880" i="1"/>
  <c r="K1956" i="1"/>
  <c r="F1994" i="1"/>
  <c r="J2070" i="1"/>
  <c r="J2146" i="1"/>
  <c r="J100" i="1" s="1"/>
  <c r="N2298" i="1"/>
  <c r="H2412" i="1"/>
  <c r="N1652" i="1"/>
  <c r="G1652" i="1"/>
  <c r="H1842" i="1"/>
  <c r="H1918" i="1"/>
  <c r="N2032" i="1"/>
  <c r="D2070" i="1"/>
  <c r="G2222" i="1"/>
  <c r="D2260" i="1"/>
  <c r="K2260" i="1"/>
  <c r="F2336" i="1"/>
  <c r="E2374" i="1"/>
  <c r="I2412" i="1"/>
  <c r="J1690" i="1"/>
  <c r="E1804" i="1"/>
  <c r="E99" i="1" s="1"/>
  <c r="I1842" i="1"/>
  <c r="E1956" i="1"/>
  <c r="H2222" i="1"/>
  <c r="N2260" i="1"/>
  <c r="J2336" i="1"/>
  <c r="F2374" i="1"/>
  <c r="J2412" i="1"/>
  <c r="G1956" i="1"/>
  <c r="E2450" i="1"/>
  <c r="E1690" i="1"/>
  <c r="H1804" i="1"/>
  <c r="H99" i="1" s="1"/>
  <c r="F1918" i="1"/>
  <c r="H1956" i="1"/>
  <c r="K2070" i="1"/>
  <c r="E2108" i="1"/>
  <c r="G2146" i="1"/>
  <c r="G100" i="1" s="1"/>
  <c r="H2184" i="1"/>
  <c r="F2260" i="1"/>
  <c r="F2450" i="1"/>
  <c r="J1614" i="1"/>
  <c r="F1690" i="1"/>
  <c r="E1728" i="1"/>
  <c r="G1766" i="1"/>
  <c r="I1804" i="1"/>
  <c r="I99" i="1" s="1"/>
  <c r="D1842" i="1"/>
  <c r="K1842" i="1"/>
  <c r="F1880" i="1"/>
  <c r="G1918" i="1"/>
  <c r="I1956" i="1"/>
  <c r="J1994" i="1"/>
  <c r="F2108" i="1"/>
  <c r="H2146" i="1"/>
  <c r="H100" i="1" s="1"/>
  <c r="D2222" i="1"/>
  <c r="K2222" i="1"/>
  <c r="G2260" i="1"/>
  <c r="E2298" i="1"/>
  <c r="I2374" i="1"/>
  <c r="E2412" i="1"/>
  <c r="G2450" i="1"/>
  <c r="D1614" i="1"/>
  <c r="F1652" i="1"/>
  <c r="H1766" i="1"/>
  <c r="J1804" i="1"/>
  <c r="J99" i="1" s="1"/>
  <c r="J1956" i="1"/>
  <c r="J2032" i="1"/>
  <c r="E2070" i="1"/>
  <c r="G2108" i="1"/>
  <c r="I2146" i="1"/>
  <c r="I100" i="1" s="1"/>
  <c r="N2222" i="1"/>
  <c r="F2298" i="1"/>
  <c r="J2374" i="1"/>
  <c r="F2412" i="1"/>
  <c r="I2032" i="1"/>
  <c r="K1652" i="1"/>
  <c r="K2298" i="1"/>
  <c r="E1652" i="1"/>
  <c r="G1728" i="1"/>
  <c r="K1804" i="1"/>
  <c r="K99" i="1" s="1"/>
  <c r="E1842" i="1"/>
  <c r="I1918" i="1"/>
  <c r="F2070" i="1"/>
  <c r="H2108" i="1"/>
  <c r="D2184" i="1"/>
  <c r="K2184" i="1"/>
  <c r="H2336" i="1"/>
  <c r="G2412" i="1"/>
  <c r="N2450" i="1"/>
  <c r="N1690" i="1"/>
  <c r="H1994" i="1"/>
  <c r="F2146" i="1"/>
  <c r="F100" i="1" s="1"/>
  <c r="J1576" i="1"/>
  <c r="J98" i="1" s="1"/>
  <c r="E1614" i="1"/>
  <c r="H1728" i="1"/>
  <c r="N1728" i="1"/>
  <c r="J1766" i="1"/>
  <c r="F1842" i="1"/>
  <c r="E1918" i="1"/>
  <c r="E1994" i="1"/>
  <c r="I2336" i="1"/>
  <c r="E2336" i="1"/>
  <c r="N2374" i="1"/>
  <c r="K1614" i="1"/>
  <c r="D1728" i="1"/>
  <c r="K1728" i="1"/>
  <c r="H2032" i="1"/>
  <c r="D2108" i="1"/>
  <c r="F1576" i="1"/>
  <c r="F98" i="1" s="1"/>
  <c r="G1576" i="1"/>
  <c r="G98" i="1" s="1"/>
  <c r="N1614" i="1"/>
  <c r="I1766" i="1"/>
  <c r="D1956" i="1"/>
  <c r="K2032" i="1"/>
  <c r="N2184" i="1"/>
  <c r="D1652" i="1"/>
  <c r="I1728" i="1"/>
  <c r="N1766" i="1"/>
  <c r="K1918" i="1"/>
  <c r="E2184" i="1"/>
  <c r="E2222" i="1"/>
  <c r="H1576" i="1"/>
  <c r="H98" i="1" s="1"/>
  <c r="K1766" i="1"/>
  <c r="D2032" i="1"/>
  <c r="E1880" i="1"/>
  <c r="F1728" i="1"/>
  <c r="I2070" i="1"/>
  <c r="D1576" i="1"/>
  <c r="K1576" i="1"/>
  <c r="K98" i="1" s="1"/>
  <c r="I1614" i="1"/>
  <c r="D1804" i="1"/>
  <c r="F2032" i="1"/>
  <c r="G2032" i="1"/>
  <c r="N2070" i="1"/>
  <c r="G2184" i="1"/>
  <c r="N2108" i="1"/>
  <c r="G2336" i="1"/>
  <c r="N1804" i="1"/>
  <c r="F2222" i="1"/>
  <c r="M2613" i="1"/>
  <c r="M2612" i="1"/>
  <c r="M2611" i="1"/>
  <c r="M2608" i="1"/>
  <c r="M2607" i="1"/>
  <c r="M2606" i="1"/>
  <c r="M2605" i="1"/>
  <c r="M2604" i="1"/>
  <c r="S122" i="1" s="1"/>
  <c r="M2603" i="1"/>
  <c r="S121" i="1" s="1"/>
  <c r="M2602" i="1"/>
  <c r="S125" i="1" s="1"/>
  <c r="BJ125" i="1" s="1"/>
  <c r="M2601" i="1"/>
  <c r="S124" i="1" s="1"/>
  <c r="BJ124" i="1" s="1"/>
  <c r="M2600" i="1"/>
  <c r="M2599" i="1"/>
  <c r="M2598" i="1"/>
  <c r="S118" i="1" s="1"/>
  <c r="M2597" i="1"/>
  <c r="S120" i="1" s="1"/>
  <c r="M2596" i="1"/>
  <c r="M2629" i="1"/>
  <c r="M2630" i="1" s="1"/>
  <c r="M2649" i="1"/>
  <c r="AA245" i="1" s="1"/>
  <c r="M2566" i="1"/>
  <c r="M2586" i="1"/>
  <c r="M2548" i="1"/>
  <c r="M2549" i="1"/>
  <c r="M2550" i="1"/>
  <c r="M2545" i="1"/>
  <c r="M2534" i="1"/>
  <c r="T120" i="1" s="1"/>
  <c r="M2535" i="1"/>
  <c r="T118" i="1" s="1"/>
  <c r="M2536" i="1"/>
  <c r="M2537" i="1"/>
  <c r="M2538" i="1"/>
  <c r="T124" i="1" s="1"/>
  <c r="BK124" i="1" s="1"/>
  <c r="M2539" i="1"/>
  <c r="T125" i="1" s="1"/>
  <c r="BK125" i="1" s="1"/>
  <c r="M2540" i="1"/>
  <c r="T121" i="1" s="1"/>
  <c r="M2541" i="1"/>
  <c r="T122" i="1" s="1"/>
  <c r="M2542" i="1"/>
  <c r="M2543" i="1"/>
  <c r="M2544" i="1"/>
  <c r="M2533" i="1"/>
  <c r="BK122" i="1" l="1"/>
  <c r="BK121" i="1"/>
  <c r="BJ120" i="1"/>
  <c r="BJ118" i="1"/>
  <c r="BK118" i="1"/>
  <c r="BJ122" i="1"/>
  <c r="BK120" i="1"/>
  <c r="BJ121" i="1"/>
  <c r="I221" i="1"/>
  <c r="AZ220" i="1"/>
  <c r="I198" i="1"/>
  <c r="AZ197" i="1"/>
  <c r="J175" i="1"/>
  <c r="BE174" i="1"/>
  <c r="K152" i="1"/>
  <c r="BB151" i="1"/>
  <c r="S119" i="1"/>
  <c r="BJ119" i="1" s="1"/>
  <c r="S127" i="1"/>
  <c r="BJ127" i="1" s="1"/>
  <c r="M2567" i="1"/>
  <c r="M2571" i="1" s="1"/>
  <c r="AB245" i="1"/>
  <c r="M2587" i="1"/>
  <c r="M2591" i="1" s="1"/>
  <c r="AC245" i="1"/>
  <c r="T119" i="1"/>
  <c r="BK119" i="1" s="1"/>
  <c r="T127" i="1"/>
  <c r="BK127" i="1" s="1"/>
  <c r="M2634" i="1"/>
  <c r="Z245" i="1"/>
  <c r="Z246" i="1" s="1"/>
  <c r="M2546" i="1"/>
  <c r="T128" i="1" s="1"/>
  <c r="M2609" i="1"/>
  <c r="S128" i="1" s="1"/>
  <c r="M2650" i="1"/>
  <c r="M1512" i="1"/>
  <c r="J1512" i="1"/>
  <c r="G1512" i="1"/>
  <c r="M1503" i="1"/>
  <c r="J1503" i="1"/>
  <c r="G1503" i="1"/>
  <c r="BJ128" i="1" l="1"/>
  <c r="BK128" i="1"/>
  <c r="S129" i="1"/>
  <c r="T129" i="1"/>
  <c r="M2551" i="1"/>
  <c r="AB246" i="1"/>
  <c r="M2547" i="1"/>
  <c r="M104" i="1" s="1"/>
  <c r="M2610" i="1"/>
  <c r="M103" i="1" s="1"/>
  <c r="M2654" i="1"/>
  <c r="M2614" i="1" s="1"/>
  <c r="M1282" i="1"/>
  <c r="L1282" i="1"/>
  <c r="K1282" i="1"/>
  <c r="J1282" i="1"/>
  <c r="I1282" i="1"/>
  <c r="H1282" i="1"/>
  <c r="G1282" i="1"/>
  <c r="F1282" i="1"/>
  <c r="E1282" i="1"/>
  <c r="D1282" i="1"/>
  <c r="C1282" i="1"/>
  <c r="C1281" i="1"/>
  <c r="M1280" i="1"/>
  <c r="L1280" i="1"/>
  <c r="K1280" i="1"/>
  <c r="J1280" i="1"/>
  <c r="I1280" i="1"/>
  <c r="H1280" i="1"/>
  <c r="G1280" i="1"/>
  <c r="F1280" i="1"/>
  <c r="E1280" i="1"/>
  <c r="D1280" i="1"/>
  <c r="C1280" i="1"/>
  <c r="M1279" i="1"/>
  <c r="L1279" i="1"/>
  <c r="K1279" i="1"/>
  <c r="J1279" i="1"/>
  <c r="I1279" i="1"/>
  <c r="H1279" i="1"/>
  <c r="G1279" i="1"/>
  <c r="F1279" i="1"/>
  <c r="E1279" i="1"/>
  <c r="D1279" i="1"/>
  <c r="C1279" i="1"/>
  <c r="M1278" i="1"/>
  <c r="L1278" i="1"/>
  <c r="K1278" i="1"/>
  <c r="J1278" i="1"/>
  <c r="I1278" i="1"/>
  <c r="H1278" i="1"/>
  <c r="G1278" i="1"/>
  <c r="F1278" i="1"/>
  <c r="E1278" i="1"/>
  <c r="D1278" i="1"/>
  <c r="C1278" i="1"/>
  <c r="M1277" i="1"/>
  <c r="L1277" i="1"/>
  <c r="K1277" i="1"/>
  <c r="J1277" i="1"/>
  <c r="I1277" i="1"/>
  <c r="H1277" i="1"/>
  <c r="G1277" i="1"/>
  <c r="F1277" i="1"/>
  <c r="E1277" i="1"/>
  <c r="D1277" i="1"/>
  <c r="C1277" i="1"/>
  <c r="M1275" i="1"/>
  <c r="L1275" i="1"/>
  <c r="K1275" i="1"/>
  <c r="J1275" i="1"/>
  <c r="I1275" i="1"/>
  <c r="H1275" i="1"/>
  <c r="G1275" i="1"/>
  <c r="F1275" i="1"/>
  <c r="E1275" i="1"/>
  <c r="D1275" i="1"/>
  <c r="C1275" i="1"/>
  <c r="C1274" i="1"/>
  <c r="M1273" i="1"/>
  <c r="L1273" i="1"/>
  <c r="K1273" i="1"/>
  <c r="J1273" i="1"/>
  <c r="I1273" i="1"/>
  <c r="H1273" i="1"/>
  <c r="G1273" i="1"/>
  <c r="F1273" i="1"/>
  <c r="E1273" i="1"/>
  <c r="D1273" i="1"/>
  <c r="C1273" i="1"/>
  <c r="M1272" i="1"/>
  <c r="L1272" i="1"/>
  <c r="K1272" i="1"/>
  <c r="J1272" i="1"/>
  <c r="I1272" i="1"/>
  <c r="H1272" i="1"/>
  <c r="G1272" i="1"/>
  <c r="F1272" i="1"/>
  <c r="E1272" i="1"/>
  <c r="D1272" i="1"/>
  <c r="C1272" i="1"/>
  <c r="M1271" i="1"/>
  <c r="L1271" i="1"/>
  <c r="K1271" i="1"/>
  <c r="J1271" i="1"/>
  <c r="I1271" i="1"/>
  <c r="H1271" i="1"/>
  <c r="G1271" i="1"/>
  <c r="F1271" i="1"/>
  <c r="E1271" i="1"/>
  <c r="D1271" i="1"/>
  <c r="C1271" i="1"/>
  <c r="M1270" i="1"/>
  <c r="L1270" i="1"/>
  <c r="K1270" i="1"/>
  <c r="J1270" i="1"/>
  <c r="I1270" i="1"/>
  <c r="H1270" i="1"/>
  <c r="G1270" i="1"/>
  <c r="F1270" i="1"/>
  <c r="E1270" i="1"/>
  <c r="D1270" i="1"/>
  <c r="C1270" i="1"/>
  <c r="M1268" i="1"/>
  <c r="L1268" i="1"/>
  <c r="K1268" i="1"/>
  <c r="J1268" i="1"/>
  <c r="I1268" i="1"/>
  <c r="H1268" i="1"/>
  <c r="G1268" i="1"/>
  <c r="F1268" i="1"/>
  <c r="E1268" i="1"/>
  <c r="D1268" i="1"/>
  <c r="C1268" i="1"/>
  <c r="C1267" i="1"/>
  <c r="M1266" i="1"/>
  <c r="L1266" i="1"/>
  <c r="K1266" i="1"/>
  <c r="J1266" i="1"/>
  <c r="I1266" i="1"/>
  <c r="H1266" i="1"/>
  <c r="G1266" i="1"/>
  <c r="F1266" i="1"/>
  <c r="E1266" i="1"/>
  <c r="D1266" i="1"/>
  <c r="C1266" i="1"/>
  <c r="M1265" i="1"/>
  <c r="L1265" i="1"/>
  <c r="K1265" i="1"/>
  <c r="J1265" i="1"/>
  <c r="I1265" i="1"/>
  <c r="H1265" i="1"/>
  <c r="G1265" i="1"/>
  <c r="F1265" i="1"/>
  <c r="E1265" i="1"/>
  <c r="D1265" i="1"/>
  <c r="C1265" i="1"/>
  <c r="M1264" i="1"/>
  <c r="L1264" i="1"/>
  <c r="K1264" i="1"/>
  <c r="J1264" i="1"/>
  <c r="I1264" i="1"/>
  <c r="H1264" i="1"/>
  <c r="G1264" i="1"/>
  <c r="F1264" i="1"/>
  <c r="E1264" i="1"/>
  <c r="D1264" i="1"/>
  <c r="C1264" i="1"/>
  <c r="M1263" i="1"/>
  <c r="L1263" i="1"/>
  <c r="K1263" i="1"/>
  <c r="J1263" i="1"/>
  <c r="I1263" i="1"/>
  <c r="H1263" i="1"/>
  <c r="G1263" i="1"/>
  <c r="F1263" i="1"/>
  <c r="E1263" i="1"/>
  <c r="D1263" i="1"/>
  <c r="C1263" i="1"/>
  <c r="M1258" i="1"/>
  <c r="M1281" i="1" s="1"/>
  <c r="L1258" i="1"/>
  <c r="L1281" i="1" s="1"/>
  <c r="K1258" i="1"/>
  <c r="K1281" i="1" s="1"/>
  <c r="J1258" i="1"/>
  <c r="J1281" i="1" s="1"/>
  <c r="I1258" i="1"/>
  <c r="I1281" i="1" s="1"/>
  <c r="H1258" i="1"/>
  <c r="H1281" i="1" s="1"/>
  <c r="G1258" i="1"/>
  <c r="G1281" i="1" s="1"/>
  <c r="F1258" i="1"/>
  <c r="F1281" i="1" s="1"/>
  <c r="E1258" i="1"/>
  <c r="E1281" i="1" s="1"/>
  <c r="D1258" i="1"/>
  <c r="D1281" i="1" s="1"/>
  <c r="M1251" i="1"/>
  <c r="M1274" i="1" s="1"/>
  <c r="L1251" i="1"/>
  <c r="L1274" i="1" s="1"/>
  <c r="K1251" i="1"/>
  <c r="K1274" i="1" s="1"/>
  <c r="J1251" i="1"/>
  <c r="J1274" i="1" s="1"/>
  <c r="I1251" i="1"/>
  <c r="I1274" i="1" s="1"/>
  <c r="H1251" i="1"/>
  <c r="H1274" i="1" s="1"/>
  <c r="G1251" i="1"/>
  <c r="G1274" i="1" s="1"/>
  <c r="F1251" i="1"/>
  <c r="F1274" i="1" s="1"/>
  <c r="E1251" i="1"/>
  <c r="E1274" i="1" s="1"/>
  <c r="D1251" i="1"/>
  <c r="D1274" i="1" s="1"/>
  <c r="M1244" i="1"/>
  <c r="M1267" i="1" s="1"/>
  <c r="L1244" i="1"/>
  <c r="L1267" i="1" s="1"/>
  <c r="K1244" i="1"/>
  <c r="K1267" i="1" s="1"/>
  <c r="J1244" i="1"/>
  <c r="J1267" i="1" s="1"/>
  <c r="I1244" i="1"/>
  <c r="I1267" i="1" s="1"/>
  <c r="H1244" i="1"/>
  <c r="H1267" i="1" s="1"/>
  <c r="G1244" i="1"/>
  <c r="G1267" i="1" s="1"/>
  <c r="F1244" i="1"/>
  <c r="F1267" i="1" s="1"/>
  <c r="E1244" i="1"/>
  <c r="E1267" i="1" s="1"/>
  <c r="D1244" i="1"/>
  <c r="D1267" i="1" s="1"/>
  <c r="L1172" i="2"/>
  <c r="K1172" i="2"/>
  <c r="J1172" i="2"/>
  <c r="I1172" i="2"/>
  <c r="H1172" i="2"/>
  <c r="G1172" i="2"/>
  <c r="F1172" i="2"/>
  <c r="E1172" i="2"/>
  <c r="D1172" i="2"/>
  <c r="I1165" i="2"/>
  <c r="I1173" i="2" s="1"/>
  <c r="H1165" i="2"/>
  <c r="H1173" i="2" s="1"/>
  <c r="G1165" i="2"/>
  <c r="G1173" i="2" s="1"/>
  <c r="N1163" i="2"/>
  <c r="N1165" i="2" s="1"/>
  <c r="N1173" i="2" s="1"/>
  <c r="M1163" i="2"/>
  <c r="M1165" i="2" s="1"/>
  <c r="M1173" i="2" s="1"/>
  <c r="L1163" i="2"/>
  <c r="L1165" i="2" s="1"/>
  <c r="L1173" i="2" s="1"/>
  <c r="K1163" i="2"/>
  <c r="K1165" i="2" s="1"/>
  <c r="K1173" i="2" s="1"/>
  <c r="J1163" i="2"/>
  <c r="J1165" i="2" s="1"/>
  <c r="J1173" i="2" s="1"/>
  <c r="I1163" i="2"/>
  <c r="H1163" i="2"/>
  <c r="G1163" i="2"/>
  <c r="F1163" i="2"/>
  <c r="F1165" i="2" s="1"/>
  <c r="F1173" i="2" s="1"/>
  <c r="E1163" i="2"/>
  <c r="E1165" i="2" s="1"/>
  <c r="E1173" i="2" s="1"/>
  <c r="D1163" i="2"/>
  <c r="D1165" i="2" s="1"/>
  <c r="D1173" i="2" s="1"/>
  <c r="M1132" i="2"/>
  <c r="L1131" i="2"/>
  <c r="K1131" i="2"/>
  <c r="J1131" i="2"/>
  <c r="I1131" i="2"/>
  <c r="H1131" i="2"/>
  <c r="G1131" i="2"/>
  <c r="F1131" i="2"/>
  <c r="E1131" i="2"/>
  <c r="D1131" i="2"/>
  <c r="L1124" i="2"/>
  <c r="L1132" i="2" s="1"/>
  <c r="K1124" i="2"/>
  <c r="K1132" i="2" s="1"/>
  <c r="J1124" i="2"/>
  <c r="J1132" i="2" s="1"/>
  <c r="I1124" i="2"/>
  <c r="I1132" i="2" s="1"/>
  <c r="D1124" i="2"/>
  <c r="D1132" i="2" s="1"/>
  <c r="N1122" i="2"/>
  <c r="N1124" i="2" s="1"/>
  <c r="N1132" i="2" s="1"/>
  <c r="M1122" i="2"/>
  <c r="M1124" i="2" s="1"/>
  <c r="L1122" i="2"/>
  <c r="K1122" i="2"/>
  <c r="J1122" i="2"/>
  <c r="I1122" i="2"/>
  <c r="H1122" i="2"/>
  <c r="H1124" i="2" s="1"/>
  <c r="H1132" i="2" s="1"/>
  <c r="G1122" i="2"/>
  <c r="G1124" i="2" s="1"/>
  <c r="G1132" i="2" s="1"/>
  <c r="F1122" i="2"/>
  <c r="F1124" i="2" s="1"/>
  <c r="F1132" i="2" s="1"/>
  <c r="E1122" i="2"/>
  <c r="E1124" i="2" s="1"/>
  <c r="E1132" i="2" s="1"/>
  <c r="D1122" i="2"/>
  <c r="L1090" i="2"/>
  <c r="K1090" i="2"/>
  <c r="J1090" i="2"/>
  <c r="I1090" i="2"/>
  <c r="H1090" i="2"/>
  <c r="G1090" i="2"/>
  <c r="F1090" i="2"/>
  <c r="E1090" i="2"/>
  <c r="D1090" i="2"/>
  <c r="N1083" i="2"/>
  <c r="N1091" i="2" s="1"/>
  <c r="M1083" i="2"/>
  <c r="M1091" i="2" s="1"/>
  <c r="L1083" i="2"/>
  <c r="L1091" i="2" s="1"/>
  <c r="K1083" i="2"/>
  <c r="E1083" i="2"/>
  <c r="E1091" i="2" s="1"/>
  <c r="D1083" i="2"/>
  <c r="D1091" i="2" s="1"/>
  <c r="N1081" i="2"/>
  <c r="M1081" i="2"/>
  <c r="L1081" i="2"/>
  <c r="K1081" i="2"/>
  <c r="J1081" i="2"/>
  <c r="J1083" i="2" s="1"/>
  <c r="J1091" i="2" s="1"/>
  <c r="I1081" i="2"/>
  <c r="I1083" i="2" s="1"/>
  <c r="I1091" i="2" s="1"/>
  <c r="H1081" i="2"/>
  <c r="H1083" i="2" s="1"/>
  <c r="G1081" i="2"/>
  <c r="G1083" i="2" s="1"/>
  <c r="G1091" i="2" s="1"/>
  <c r="F1081" i="2"/>
  <c r="F1083" i="2" s="1"/>
  <c r="F1091" i="2" s="1"/>
  <c r="E1081" i="2"/>
  <c r="D1081" i="2"/>
  <c r="L1027" i="2"/>
  <c r="K1027" i="2"/>
  <c r="J1027" i="2"/>
  <c r="I1027" i="2"/>
  <c r="H1027" i="2"/>
  <c r="G1027" i="2"/>
  <c r="F1027" i="2"/>
  <c r="E1027" i="2"/>
  <c r="D1027" i="2"/>
  <c r="N1020" i="2"/>
  <c r="N1028" i="2" s="1"/>
  <c r="M1020" i="2"/>
  <c r="M1028" i="2" s="1"/>
  <c r="H1020" i="2"/>
  <c r="H1028" i="2" s="1"/>
  <c r="G1020" i="2"/>
  <c r="G1028" i="2" s="1"/>
  <c r="F1020" i="2"/>
  <c r="F1028" i="2" s="1"/>
  <c r="E1020" i="2"/>
  <c r="E1028" i="2" s="1"/>
  <c r="N1018" i="2"/>
  <c r="M1018" i="2"/>
  <c r="L1018" i="2"/>
  <c r="L1020" i="2" s="1"/>
  <c r="L1028" i="2" s="1"/>
  <c r="K1018" i="2"/>
  <c r="K1020" i="2" s="1"/>
  <c r="K1028" i="2" s="1"/>
  <c r="J1018" i="2"/>
  <c r="J1020" i="2" s="1"/>
  <c r="J1028" i="2" s="1"/>
  <c r="I1018" i="2"/>
  <c r="I1020" i="2" s="1"/>
  <c r="I1028" i="2" s="1"/>
  <c r="H1018" i="2"/>
  <c r="G1018" i="2"/>
  <c r="F1018" i="2"/>
  <c r="E1018" i="2"/>
  <c r="D1018" i="2"/>
  <c r="D1020" i="2" s="1"/>
  <c r="D1028" i="2" s="1"/>
  <c r="K987" i="2"/>
  <c r="L986" i="2"/>
  <c r="K986" i="2"/>
  <c r="J986" i="2"/>
  <c r="I986" i="2"/>
  <c r="H986" i="2"/>
  <c r="G986" i="2"/>
  <c r="F986" i="2"/>
  <c r="E986" i="2"/>
  <c r="D986" i="2"/>
  <c r="I979" i="2"/>
  <c r="I987" i="2" s="1"/>
  <c r="H979" i="2"/>
  <c r="H987" i="2" s="1"/>
  <c r="G979" i="2"/>
  <c r="N977" i="2"/>
  <c r="N979" i="2" s="1"/>
  <c r="N987" i="2" s="1"/>
  <c r="M977" i="2"/>
  <c r="M979" i="2" s="1"/>
  <c r="M987" i="2" s="1"/>
  <c r="L977" i="2"/>
  <c r="L979" i="2" s="1"/>
  <c r="K977" i="2"/>
  <c r="K979" i="2" s="1"/>
  <c r="J977" i="2"/>
  <c r="J979" i="2" s="1"/>
  <c r="J987" i="2" s="1"/>
  <c r="I977" i="2"/>
  <c r="H977" i="2"/>
  <c r="G977" i="2"/>
  <c r="F977" i="2"/>
  <c r="F979" i="2" s="1"/>
  <c r="F987" i="2" s="1"/>
  <c r="E977" i="2"/>
  <c r="E979" i="2" s="1"/>
  <c r="E987" i="2" s="1"/>
  <c r="D977" i="2"/>
  <c r="D979" i="2" s="1"/>
  <c r="M946" i="2"/>
  <c r="L945" i="2"/>
  <c r="K945" i="2"/>
  <c r="J945" i="2"/>
  <c r="I945" i="2"/>
  <c r="H945" i="2"/>
  <c r="G945" i="2"/>
  <c r="F945" i="2"/>
  <c r="E945" i="2"/>
  <c r="D945" i="2"/>
  <c r="L938" i="2"/>
  <c r="L946" i="2" s="1"/>
  <c r="K938" i="2"/>
  <c r="K946" i="2" s="1"/>
  <c r="J938" i="2"/>
  <c r="J946" i="2" s="1"/>
  <c r="I938" i="2"/>
  <c r="D938" i="2"/>
  <c r="D946" i="2" s="1"/>
  <c r="N936" i="2"/>
  <c r="N938" i="2" s="1"/>
  <c r="N946" i="2" s="1"/>
  <c r="M936" i="2"/>
  <c r="M938" i="2" s="1"/>
  <c r="L936" i="2"/>
  <c r="K936" i="2"/>
  <c r="J936" i="2"/>
  <c r="I936" i="2"/>
  <c r="H936" i="2"/>
  <c r="H938" i="2" s="1"/>
  <c r="H946" i="2" s="1"/>
  <c r="G936" i="2"/>
  <c r="G938" i="2" s="1"/>
  <c r="G946" i="2" s="1"/>
  <c r="F936" i="2"/>
  <c r="F938" i="2" s="1"/>
  <c r="F946" i="2" s="1"/>
  <c r="E936" i="2"/>
  <c r="E938" i="2" s="1"/>
  <c r="E946" i="2" s="1"/>
  <c r="D936" i="2"/>
  <c r="J886" i="2"/>
  <c r="L885" i="2"/>
  <c r="K885" i="2"/>
  <c r="J885" i="2"/>
  <c r="I885" i="2"/>
  <c r="H885" i="2"/>
  <c r="G885" i="2"/>
  <c r="F885" i="2"/>
  <c r="E885" i="2"/>
  <c r="D885" i="2"/>
  <c r="M878" i="2"/>
  <c r="M886" i="2" s="1"/>
  <c r="L878" i="2"/>
  <c r="L886" i="2" s="1"/>
  <c r="K878" i="2"/>
  <c r="E878" i="2"/>
  <c r="E886" i="2" s="1"/>
  <c r="D878" i="2"/>
  <c r="D886" i="2" s="1"/>
  <c r="N876" i="2"/>
  <c r="N878" i="2" s="1"/>
  <c r="N886" i="2" s="1"/>
  <c r="M876" i="2"/>
  <c r="L876" i="2"/>
  <c r="K876" i="2"/>
  <c r="J876" i="2"/>
  <c r="J878" i="2" s="1"/>
  <c r="I876" i="2"/>
  <c r="I878" i="2" s="1"/>
  <c r="I886" i="2" s="1"/>
  <c r="H876" i="2"/>
  <c r="H878" i="2" s="1"/>
  <c r="H886" i="2" s="1"/>
  <c r="G876" i="2"/>
  <c r="G878" i="2" s="1"/>
  <c r="G886" i="2" s="1"/>
  <c r="F876" i="2"/>
  <c r="F878" i="2" s="1"/>
  <c r="F886" i="2" s="1"/>
  <c r="E876" i="2"/>
  <c r="D876" i="2"/>
  <c r="L844" i="2"/>
  <c r="K844" i="2"/>
  <c r="J844" i="2"/>
  <c r="I844" i="2"/>
  <c r="H844" i="2"/>
  <c r="G844" i="2"/>
  <c r="F844" i="2"/>
  <c r="E844" i="2"/>
  <c r="D844" i="2"/>
  <c r="N837" i="2"/>
  <c r="N845" i="2" s="1"/>
  <c r="M837" i="2"/>
  <c r="M845" i="2" s="1"/>
  <c r="H837" i="2"/>
  <c r="H845" i="2" s="1"/>
  <c r="G837" i="2"/>
  <c r="G845" i="2" s="1"/>
  <c r="F837" i="2"/>
  <c r="F845" i="2" s="1"/>
  <c r="E837" i="2"/>
  <c r="N835" i="2"/>
  <c r="M835" i="2"/>
  <c r="L835" i="2"/>
  <c r="L837" i="2" s="1"/>
  <c r="L845" i="2" s="1"/>
  <c r="K835" i="2"/>
  <c r="K837" i="2" s="1"/>
  <c r="K845" i="2" s="1"/>
  <c r="J835" i="2"/>
  <c r="J837" i="2" s="1"/>
  <c r="J845" i="2" s="1"/>
  <c r="I835" i="2"/>
  <c r="I837" i="2" s="1"/>
  <c r="I845" i="2" s="1"/>
  <c r="H835" i="2"/>
  <c r="G835" i="2"/>
  <c r="F835" i="2"/>
  <c r="E835" i="2"/>
  <c r="D835" i="2"/>
  <c r="D837" i="2" s="1"/>
  <c r="D845" i="2" s="1"/>
  <c r="M804" i="2"/>
  <c r="E804" i="2"/>
  <c r="L803" i="2"/>
  <c r="K803" i="2"/>
  <c r="J803" i="2"/>
  <c r="I803" i="2"/>
  <c r="H803" i="2"/>
  <c r="G803" i="2"/>
  <c r="F803" i="2"/>
  <c r="E803" i="2"/>
  <c r="D803" i="2"/>
  <c r="I796" i="2"/>
  <c r="I804" i="2" s="1"/>
  <c r="H796" i="2"/>
  <c r="H804" i="2" s="1"/>
  <c r="G796" i="2"/>
  <c r="G804" i="2" s="1"/>
  <c r="N794" i="2"/>
  <c r="N796" i="2" s="1"/>
  <c r="N804" i="2" s="1"/>
  <c r="M794" i="2"/>
  <c r="M796" i="2" s="1"/>
  <c r="L794" i="2"/>
  <c r="L796" i="2" s="1"/>
  <c r="K794" i="2"/>
  <c r="K796" i="2" s="1"/>
  <c r="K804" i="2" s="1"/>
  <c r="J794" i="2"/>
  <c r="J796" i="2" s="1"/>
  <c r="J804" i="2" s="1"/>
  <c r="I794" i="2"/>
  <c r="H794" i="2"/>
  <c r="G794" i="2"/>
  <c r="F794" i="2"/>
  <c r="F796" i="2" s="1"/>
  <c r="F804" i="2" s="1"/>
  <c r="E794" i="2"/>
  <c r="E796" i="2" s="1"/>
  <c r="D794" i="2"/>
  <c r="D796" i="2" s="1"/>
  <c r="M741" i="2"/>
  <c r="H741" i="2"/>
  <c r="G741" i="2"/>
  <c r="L740" i="2"/>
  <c r="K740" i="2"/>
  <c r="J740" i="2"/>
  <c r="I740" i="2"/>
  <c r="H740" i="2"/>
  <c r="G740" i="2"/>
  <c r="F740" i="2"/>
  <c r="E740" i="2"/>
  <c r="D740" i="2"/>
  <c r="K733" i="2"/>
  <c r="K741" i="2" s="1"/>
  <c r="J733" i="2"/>
  <c r="J741" i="2" s="1"/>
  <c r="I733" i="2"/>
  <c r="I741" i="2" s="1"/>
  <c r="D733" i="2"/>
  <c r="D741" i="2" s="1"/>
  <c r="N731" i="2"/>
  <c r="N733" i="2" s="1"/>
  <c r="N741" i="2" s="1"/>
  <c r="M731" i="2"/>
  <c r="M733" i="2" s="1"/>
  <c r="L731" i="2"/>
  <c r="L733" i="2" s="1"/>
  <c r="L741" i="2" s="1"/>
  <c r="K731" i="2"/>
  <c r="J731" i="2"/>
  <c r="I731" i="2"/>
  <c r="H731" i="2"/>
  <c r="H733" i="2" s="1"/>
  <c r="G731" i="2"/>
  <c r="G733" i="2" s="1"/>
  <c r="F731" i="2"/>
  <c r="F733" i="2" s="1"/>
  <c r="F741" i="2" s="1"/>
  <c r="E731" i="2"/>
  <c r="E733" i="2" s="1"/>
  <c r="E741" i="2" s="1"/>
  <c r="D731" i="2"/>
  <c r="L699" i="2"/>
  <c r="K699" i="2"/>
  <c r="J699" i="2"/>
  <c r="I699" i="2"/>
  <c r="H699" i="2"/>
  <c r="G699" i="2"/>
  <c r="F699" i="2"/>
  <c r="E699" i="2"/>
  <c r="D699" i="2"/>
  <c r="N692" i="2"/>
  <c r="N700" i="2" s="1"/>
  <c r="M692" i="2"/>
  <c r="M700" i="2" s="1"/>
  <c r="L692" i="2"/>
  <c r="L700" i="2" s="1"/>
  <c r="K692" i="2"/>
  <c r="E692" i="2"/>
  <c r="E700" i="2" s="1"/>
  <c r="D692" i="2"/>
  <c r="D700" i="2" s="1"/>
  <c r="N690" i="2"/>
  <c r="M690" i="2"/>
  <c r="L690" i="2"/>
  <c r="K690" i="2"/>
  <c r="J690" i="2"/>
  <c r="J692" i="2" s="1"/>
  <c r="J700" i="2" s="1"/>
  <c r="I690" i="2"/>
  <c r="I692" i="2" s="1"/>
  <c r="I700" i="2" s="1"/>
  <c r="H690" i="2"/>
  <c r="H692" i="2" s="1"/>
  <c r="G690" i="2"/>
  <c r="G692" i="2" s="1"/>
  <c r="G700" i="2" s="1"/>
  <c r="F690" i="2"/>
  <c r="F692" i="2" s="1"/>
  <c r="F700" i="2" s="1"/>
  <c r="E690" i="2"/>
  <c r="D690" i="2"/>
  <c r="L658" i="2"/>
  <c r="K658" i="2"/>
  <c r="J658" i="2"/>
  <c r="I658" i="2"/>
  <c r="H658" i="2"/>
  <c r="G658" i="2"/>
  <c r="F658" i="2"/>
  <c r="E658" i="2"/>
  <c r="D658" i="2"/>
  <c r="N651" i="2"/>
  <c r="N659" i="2" s="1"/>
  <c r="M651" i="2"/>
  <c r="M659" i="2" s="1"/>
  <c r="H651" i="2"/>
  <c r="H659" i="2" s="1"/>
  <c r="G651" i="2"/>
  <c r="G659" i="2" s="1"/>
  <c r="F651" i="2"/>
  <c r="F659" i="2" s="1"/>
  <c r="E651" i="2"/>
  <c r="E659" i="2" s="1"/>
  <c r="N649" i="2"/>
  <c r="M649" i="2"/>
  <c r="L649" i="2"/>
  <c r="L651" i="2" s="1"/>
  <c r="L659" i="2" s="1"/>
  <c r="K649" i="2"/>
  <c r="K651" i="2" s="1"/>
  <c r="K659" i="2" s="1"/>
  <c r="J649" i="2"/>
  <c r="J651" i="2" s="1"/>
  <c r="J659" i="2" s="1"/>
  <c r="I649" i="2"/>
  <c r="I651" i="2" s="1"/>
  <c r="I659" i="2" s="1"/>
  <c r="H649" i="2"/>
  <c r="G649" i="2"/>
  <c r="F649" i="2"/>
  <c r="E649" i="2"/>
  <c r="D649" i="2"/>
  <c r="D651" i="2" s="1"/>
  <c r="D659" i="2" s="1"/>
  <c r="N598" i="2"/>
  <c r="M598" i="2"/>
  <c r="K598" i="2"/>
  <c r="L597" i="2"/>
  <c r="K597" i="2"/>
  <c r="J597" i="2"/>
  <c r="I597" i="2"/>
  <c r="H597" i="2"/>
  <c r="G597" i="2"/>
  <c r="F597" i="2"/>
  <c r="F598" i="2" s="1"/>
  <c r="E597" i="2"/>
  <c r="D597" i="2"/>
  <c r="I590" i="2"/>
  <c r="I598" i="2" s="1"/>
  <c r="H590" i="2"/>
  <c r="H598" i="2" s="1"/>
  <c r="G590" i="2"/>
  <c r="G598" i="2" s="1"/>
  <c r="N588" i="2"/>
  <c r="N590" i="2" s="1"/>
  <c r="M588" i="2"/>
  <c r="M590" i="2" s="1"/>
  <c r="L588" i="2"/>
  <c r="L590" i="2" s="1"/>
  <c r="L598" i="2" s="1"/>
  <c r="K588" i="2"/>
  <c r="K590" i="2" s="1"/>
  <c r="J588" i="2"/>
  <c r="J590" i="2" s="1"/>
  <c r="J598" i="2" s="1"/>
  <c r="I588" i="2"/>
  <c r="H588" i="2"/>
  <c r="G588" i="2"/>
  <c r="F588" i="2"/>
  <c r="F590" i="2" s="1"/>
  <c r="E588" i="2"/>
  <c r="E590" i="2" s="1"/>
  <c r="E598" i="2" s="1"/>
  <c r="D588" i="2"/>
  <c r="D590" i="2" s="1"/>
  <c r="D598" i="2" s="1"/>
  <c r="H557" i="2"/>
  <c r="G557" i="2"/>
  <c r="L556" i="2"/>
  <c r="K556" i="2"/>
  <c r="J556" i="2"/>
  <c r="I556" i="2"/>
  <c r="H556" i="2"/>
  <c r="G556" i="2"/>
  <c r="F556" i="2"/>
  <c r="E556" i="2"/>
  <c r="D556" i="2"/>
  <c r="K549" i="2"/>
  <c r="K557" i="2" s="1"/>
  <c r="J549" i="2"/>
  <c r="J557" i="2" s="1"/>
  <c r="I549" i="2"/>
  <c r="N547" i="2"/>
  <c r="N549" i="2" s="1"/>
  <c r="N557" i="2" s="1"/>
  <c r="M547" i="2"/>
  <c r="M549" i="2" s="1"/>
  <c r="M557" i="2" s="1"/>
  <c r="L547" i="2"/>
  <c r="L549" i="2" s="1"/>
  <c r="L557" i="2" s="1"/>
  <c r="K547" i="2"/>
  <c r="J547" i="2"/>
  <c r="I547" i="2"/>
  <c r="H547" i="2"/>
  <c r="H549" i="2" s="1"/>
  <c r="G547" i="2"/>
  <c r="G549" i="2" s="1"/>
  <c r="F547" i="2"/>
  <c r="F549" i="2" s="1"/>
  <c r="F557" i="2" s="1"/>
  <c r="E547" i="2"/>
  <c r="E549" i="2" s="1"/>
  <c r="E557" i="2" s="1"/>
  <c r="D547" i="2"/>
  <c r="D549" i="2" s="1"/>
  <c r="D557" i="2" s="1"/>
  <c r="L515" i="2"/>
  <c r="K515" i="2"/>
  <c r="J515" i="2"/>
  <c r="I515" i="2"/>
  <c r="H515" i="2"/>
  <c r="G515" i="2"/>
  <c r="F515" i="2"/>
  <c r="E515" i="2"/>
  <c r="D515" i="2"/>
  <c r="N508" i="2"/>
  <c r="N516" i="2" s="1"/>
  <c r="M508" i="2"/>
  <c r="M516" i="2" s="1"/>
  <c r="L508" i="2"/>
  <c r="L516" i="2" s="1"/>
  <c r="K508" i="2"/>
  <c r="F508" i="2"/>
  <c r="F516" i="2" s="1"/>
  <c r="E508" i="2"/>
  <c r="E516" i="2" s="1"/>
  <c r="D508" i="2"/>
  <c r="D516" i="2" s="1"/>
  <c r="N506" i="2"/>
  <c r="M506" i="2"/>
  <c r="L506" i="2"/>
  <c r="K506" i="2"/>
  <c r="J506" i="2"/>
  <c r="J508" i="2" s="1"/>
  <c r="J516" i="2" s="1"/>
  <c r="I506" i="2"/>
  <c r="I508" i="2" s="1"/>
  <c r="I516" i="2" s="1"/>
  <c r="H506" i="2"/>
  <c r="H508" i="2" s="1"/>
  <c r="H516" i="2" s="1"/>
  <c r="G506" i="2"/>
  <c r="G508" i="2" s="1"/>
  <c r="G516" i="2" s="1"/>
  <c r="F506" i="2"/>
  <c r="E506" i="2"/>
  <c r="D506" i="2"/>
  <c r="L453" i="2"/>
  <c r="I453" i="2"/>
  <c r="L452" i="2"/>
  <c r="K452" i="2"/>
  <c r="J452" i="2"/>
  <c r="I452" i="2"/>
  <c r="H452" i="2"/>
  <c r="G452" i="2"/>
  <c r="F452" i="2"/>
  <c r="E452" i="2"/>
  <c r="D452" i="2"/>
  <c r="N445" i="2"/>
  <c r="N453" i="2" s="1"/>
  <c r="M445" i="2"/>
  <c r="M453" i="2" s="1"/>
  <c r="H445" i="2"/>
  <c r="H453" i="2" s="1"/>
  <c r="G445" i="2"/>
  <c r="G453" i="2" s="1"/>
  <c r="F445" i="2"/>
  <c r="F453" i="2" s="1"/>
  <c r="E445" i="2"/>
  <c r="E453" i="2" s="1"/>
  <c r="N443" i="2"/>
  <c r="M443" i="2"/>
  <c r="L443" i="2"/>
  <c r="L445" i="2" s="1"/>
  <c r="K443" i="2"/>
  <c r="K445" i="2" s="1"/>
  <c r="K453" i="2" s="1"/>
  <c r="J443" i="2"/>
  <c r="J445" i="2" s="1"/>
  <c r="J453" i="2" s="1"/>
  <c r="I443" i="2"/>
  <c r="I445" i="2" s="1"/>
  <c r="H443" i="2"/>
  <c r="G443" i="2"/>
  <c r="F443" i="2"/>
  <c r="E443" i="2"/>
  <c r="D443" i="2"/>
  <c r="D445" i="2" s="1"/>
  <c r="D453" i="2" s="1"/>
  <c r="N412" i="2"/>
  <c r="M412" i="2"/>
  <c r="L411" i="2"/>
  <c r="L412" i="2" s="1"/>
  <c r="K411" i="2"/>
  <c r="J411" i="2"/>
  <c r="I411" i="2"/>
  <c r="H411" i="2"/>
  <c r="G411" i="2"/>
  <c r="F411" i="2"/>
  <c r="E411" i="2"/>
  <c r="D411" i="2"/>
  <c r="I404" i="2"/>
  <c r="I412" i="2" s="1"/>
  <c r="H404" i="2"/>
  <c r="H412" i="2" s="1"/>
  <c r="G404" i="2"/>
  <c r="G412" i="2" s="1"/>
  <c r="N402" i="2"/>
  <c r="N404" i="2" s="1"/>
  <c r="M402" i="2"/>
  <c r="M404" i="2" s="1"/>
  <c r="L402" i="2"/>
  <c r="L404" i="2" s="1"/>
  <c r="K402" i="2"/>
  <c r="K404" i="2" s="1"/>
  <c r="K412" i="2" s="1"/>
  <c r="J402" i="2"/>
  <c r="J404" i="2" s="1"/>
  <c r="J412" i="2" s="1"/>
  <c r="I402" i="2"/>
  <c r="H402" i="2"/>
  <c r="G402" i="2"/>
  <c r="F402" i="2"/>
  <c r="F404" i="2" s="1"/>
  <c r="F412" i="2" s="1"/>
  <c r="E402" i="2"/>
  <c r="E404" i="2" s="1"/>
  <c r="E412" i="2" s="1"/>
  <c r="D402" i="2"/>
  <c r="D404" i="2" s="1"/>
  <c r="D412" i="2" s="1"/>
  <c r="N371" i="2"/>
  <c r="M371" i="2"/>
  <c r="L370" i="2"/>
  <c r="K370" i="2"/>
  <c r="J370" i="2"/>
  <c r="I370" i="2"/>
  <c r="H370" i="2"/>
  <c r="G370" i="2"/>
  <c r="F370" i="2"/>
  <c r="E370" i="2"/>
  <c r="D370" i="2"/>
  <c r="L363" i="2"/>
  <c r="L371" i="2" s="1"/>
  <c r="K363" i="2"/>
  <c r="K371" i="2" s="1"/>
  <c r="J363" i="2"/>
  <c r="J371" i="2" s="1"/>
  <c r="I363" i="2"/>
  <c r="I371" i="2" s="1"/>
  <c r="D363" i="2"/>
  <c r="D371" i="2" s="1"/>
  <c r="N361" i="2"/>
  <c r="N363" i="2" s="1"/>
  <c r="M361" i="2"/>
  <c r="M363" i="2" s="1"/>
  <c r="L361" i="2"/>
  <c r="K361" i="2"/>
  <c r="J361" i="2"/>
  <c r="I361" i="2"/>
  <c r="H361" i="2"/>
  <c r="H363" i="2" s="1"/>
  <c r="H371" i="2" s="1"/>
  <c r="G361" i="2"/>
  <c r="G363" i="2" s="1"/>
  <c r="G371" i="2" s="1"/>
  <c r="F361" i="2"/>
  <c r="F363" i="2" s="1"/>
  <c r="F371" i="2" s="1"/>
  <c r="E361" i="2"/>
  <c r="E363" i="2" s="1"/>
  <c r="E371" i="2" s="1"/>
  <c r="D361" i="2"/>
  <c r="L310" i="2"/>
  <c r="K310" i="2"/>
  <c r="J310" i="2"/>
  <c r="I310" i="2"/>
  <c r="H310" i="2"/>
  <c r="G310" i="2"/>
  <c r="F310" i="2"/>
  <c r="E310" i="2"/>
  <c r="D310" i="2"/>
  <c r="N303" i="2"/>
  <c r="N311" i="2" s="1"/>
  <c r="M303" i="2"/>
  <c r="M311" i="2" s="1"/>
  <c r="L303" i="2"/>
  <c r="L311" i="2" s="1"/>
  <c r="K303" i="2"/>
  <c r="F303" i="2"/>
  <c r="F311" i="2" s="1"/>
  <c r="E303" i="2"/>
  <c r="E311" i="2" s="1"/>
  <c r="D303" i="2"/>
  <c r="D311" i="2" s="1"/>
  <c r="N301" i="2"/>
  <c r="M301" i="2"/>
  <c r="L301" i="2"/>
  <c r="K301" i="2"/>
  <c r="J301" i="2"/>
  <c r="J303" i="2" s="1"/>
  <c r="J311" i="2" s="1"/>
  <c r="I301" i="2"/>
  <c r="I303" i="2" s="1"/>
  <c r="I311" i="2" s="1"/>
  <c r="H301" i="2"/>
  <c r="H303" i="2" s="1"/>
  <c r="H311" i="2" s="1"/>
  <c r="G301" i="2"/>
  <c r="G303" i="2" s="1"/>
  <c r="G311" i="2" s="1"/>
  <c r="F301" i="2"/>
  <c r="E301" i="2"/>
  <c r="D301" i="2"/>
  <c r="J270" i="2"/>
  <c r="I270" i="2"/>
  <c r="D270" i="2"/>
  <c r="L269" i="2"/>
  <c r="K269" i="2"/>
  <c r="J269" i="2"/>
  <c r="I269" i="2"/>
  <c r="H269" i="2"/>
  <c r="G269" i="2"/>
  <c r="F269" i="2"/>
  <c r="E269" i="2"/>
  <c r="D269" i="2"/>
  <c r="N262" i="2"/>
  <c r="N270" i="2" s="1"/>
  <c r="M262" i="2"/>
  <c r="M270" i="2" s="1"/>
  <c r="G262" i="2"/>
  <c r="G270" i="2" s="1"/>
  <c r="F262" i="2"/>
  <c r="F270" i="2" s="1"/>
  <c r="E262" i="2"/>
  <c r="N260" i="2"/>
  <c r="M260" i="2"/>
  <c r="L260" i="2"/>
  <c r="L262" i="2" s="1"/>
  <c r="L270" i="2" s="1"/>
  <c r="K260" i="2"/>
  <c r="K262" i="2" s="1"/>
  <c r="K270" i="2" s="1"/>
  <c r="J260" i="2"/>
  <c r="J262" i="2" s="1"/>
  <c r="I260" i="2"/>
  <c r="I262" i="2" s="1"/>
  <c r="H260" i="2"/>
  <c r="H262" i="2" s="1"/>
  <c r="H270" i="2" s="1"/>
  <c r="G260" i="2"/>
  <c r="F260" i="2"/>
  <c r="E260" i="2"/>
  <c r="D260" i="2"/>
  <c r="D262" i="2" s="1"/>
  <c r="K230" i="2"/>
  <c r="L229" i="2"/>
  <c r="K229" i="2"/>
  <c r="J229" i="2"/>
  <c r="I229" i="2"/>
  <c r="H229" i="2"/>
  <c r="G229" i="2"/>
  <c r="F229" i="2"/>
  <c r="E229" i="2"/>
  <c r="D229" i="2"/>
  <c r="I222" i="2"/>
  <c r="I230" i="2" s="1"/>
  <c r="H222" i="2"/>
  <c r="H230" i="2" s="1"/>
  <c r="G222" i="2"/>
  <c r="N220" i="2"/>
  <c r="N222" i="2" s="1"/>
  <c r="N230" i="2" s="1"/>
  <c r="M220" i="2"/>
  <c r="M222" i="2" s="1"/>
  <c r="M230" i="2" s="1"/>
  <c r="L220" i="2"/>
  <c r="L222" i="2" s="1"/>
  <c r="L230" i="2" s="1"/>
  <c r="K220" i="2"/>
  <c r="K222" i="2" s="1"/>
  <c r="J220" i="2"/>
  <c r="J222" i="2" s="1"/>
  <c r="J230" i="2" s="1"/>
  <c r="I220" i="2"/>
  <c r="H220" i="2"/>
  <c r="G220" i="2"/>
  <c r="F220" i="2"/>
  <c r="F222" i="2" s="1"/>
  <c r="F230" i="2" s="1"/>
  <c r="E220" i="2"/>
  <c r="E222" i="2" s="1"/>
  <c r="E230" i="2" s="1"/>
  <c r="D220" i="2"/>
  <c r="D222" i="2" s="1"/>
  <c r="D230" i="2" s="1"/>
  <c r="L167" i="2"/>
  <c r="K167" i="2"/>
  <c r="J167" i="2"/>
  <c r="I167" i="2"/>
  <c r="H167" i="2"/>
  <c r="G167" i="2"/>
  <c r="F167" i="2"/>
  <c r="E167" i="2"/>
  <c r="D167" i="2"/>
  <c r="K160" i="2"/>
  <c r="K168" i="2" s="1"/>
  <c r="J160" i="2"/>
  <c r="J168" i="2" s="1"/>
  <c r="I160" i="2"/>
  <c r="N158" i="2"/>
  <c r="N160" i="2" s="1"/>
  <c r="N168" i="2" s="1"/>
  <c r="M158" i="2"/>
  <c r="M160" i="2" s="1"/>
  <c r="M168" i="2" s="1"/>
  <c r="L158" i="2"/>
  <c r="L160" i="2" s="1"/>
  <c r="L168" i="2" s="1"/>
  <c r="K158" i="2"/>
  <c r="J158" i="2"/>
  <c r="I158" i="2"/>
  <c r="H158" i="2"/>
  <c r="H160" i="2" s="1"/>
  <c r="H168" i="2" s="1"/>
  <c r="G158" i="2"/>
  <c r="G160" i="2" s="1"/>
  <c r="G168" i="2" s="1"/>
  <c r="F158" i="2"/>
  <c r="F160" i="2" s="1"/>
  <c r="F168" i="2" s="1"/>
  <c r="E158" i="2"/>
  <c r="E160" i="2" s="1"/>
  <c r="E168" i="2" s="1"/>
  <c r="D158" i="2"/>
  <c r="D160" i="2" s="1"/>
  <c r="D168" i="2" s="1"/>
  <c r="L127" i="2"/>
  <c r="K127" i="2"/>
  <c r="J127" i="2"/>
  <c r="I127" i="2"/>
  <c r="H127" i="2"/>
  <c r="G127" i="2"/>
  <c r="F127" i="2"/>
  <c r="E127" i="2"/>
  <c r="D127" i="2"/>
  <c r="N120" i="2"/>
  <c r="N128" i="2" s="1"/>
  <c r="M120" i="2"/>
  <c r="M128" i="2" s="1"/>
  <c r="L120" i="2"/>
  <c r="L128" i="2" s="1"/>
  <c r="K120" i="2"/>
  <c r="F120" i="2"/>
  <c r="F128" i="2" s="1"/>
  <c r="E120" i="2"/>
  <c r="E128" i="2" s="1"/>
  <c r="D120" i="2"/>
  <c r="D128" i="2" s="1"/>
  <c r="N118" i="2"/>
  <c r="M118" i="2"/>
  <c r="L118" i="2"/>
  <c r="K118" i="2"/>
  <c r="J118" i="2"/>
  <c r="J120" i="2" s="1"/>
  <c r="J128" i="2" s="1"/>
  <c r="I118" i="2"/>
  <c r="I120" i="2" s="1"/>
  <c r="I128" i="2" s="1"/>
  <c r="H118" i="2"/>
  <c r="H120" i="2" s="1"/>
  <c r="H128" i="2" s="1"/>
  <c r="G118" i="2"/>
  <c r="G120" i="2" s="1"/>
  <c r="G128" i="2" s="1"/>
  <c r="F118" i="2"/>
  <c r="E118" i="2"/>
  <c r="D118" i="2"/>
  <c r="L90" i="2"/>
  <c r="I90" i="2"/>
  <c r="L89" i="2"/>
  <c r="K89" i="2"/>
  <c r="J89" i="2"/>
  <c r="I89" i="2"/>
  <c r="H89" i="2"/>
  <c r="G89" i="2"/>
  <c r="F89" i="2"/>
  <c r="E89" i="2"/>
  <c r="D89" i="2"/>
  <c r="N82" i="2"/>
  <c r="N90" i="2" s="1"/>
  <c r="M82" i="2"/>
  <c r="M90" i="2" s="1"/>
  <c r="H82" i="2"/>
  <c r="H90" i="2" s="1"/>
  <c r="G82" i="2"/>
  <c r="G90" i="2" s="1"/>
  <c r="F82" i="2"/>
  <c r="F90" i="2" s="1"/>
  <c r="E82" i="2"/>
  <c r="E90" i="2" s="1"/>
  <c r="N80" i="2"/>
  <c r="M80" i="2"/>
  <c r="L80" i="2"/>
  <c r="L82" i="2" s="1"/>
  <c r="K80" i="2"/>
  <c r="K82" i="2" s="1"/>
  <c r="K90" i="2" s="1"/>
  <c r="J80" i="2"/>
  <c r="J82" i="2" s="1"/>
  <c r="J90" i="2" s="1"/>
  <c r="I80" i="2"/>
  <c r="I82" i="2" s="1"/>
  <c r="H80" i="2"/>
  <c r="G80" i="2"/>
  <c r="F80" i="2"/>
  <c r="E80" i="2"/>
  <c r="D80" i="2"/>
  <c r="D82" i="2" s="1"/>
  <c r="D90" i="2" s="1"/>
  <c r="N48" i="2"/>
  <c r="M48" i="2"/>
  <c r="L48" i="2"/>
  <c r="K48" i="2"/>
  <c r="J48" i="2"/>
  <c r="I48" i="2"/>
  <c r="H48" i="2"/>
  <c r="G48" i="2"/>
  <c r="F48" i="2"/>
  <c r="E48" i="2"/>
  <c r="D48" i="2"/>
  <c r="C48" i="2"/>
  <c r="J47" i="2"/>
  <c r="I47" i="2"/>
  <c r="H47" i="2"/>
  <c r="G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1" i="2"/>
  <c r="M41" i="2"/>
  <c r="L41" i="2"/>
  <c r="K41" i="2"/>
  <c r="J41" i="2"/>
  <c r="I41" i="2"/>
  <c r="H41" i="2"/>
  <c r="G41" i="2"/>
  <c r="F41" i="2"/>
  <c r="E41" i="2"/>
  <c r="D41" i="2"/>
  <c r="C41" i="2"/>
  <c r="M40" i="2"/>
  <c r="K40" i="2"/>
  <c r="J40" i="2"/>
  <c r="I40" i="2"/>
  <c r="H40" i="2"/>
  <c r="E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J33" i="2"/>
  <c r="H33" i="2"/>
  <c r="G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4" i="2"/>
  <c r="N47" i="2" s="1"/>
  <c r="M24" i="2"/>
  <c r="M47" i="2" s="1"/>
  <c r="L24" i="2"/>
  <c r="L47" i="2" s="1"/>
  <c r="K24" i="2"/>
  <c r="K47" i="2" s="1"/>
  <c r="J24" i="2"/>
  <c r="I24" i="2"/>
  <c r="H24" i="2"/>
  <c r="G24" i="2"/>
  <c r="F24" i="2"/>
  <c r="F47" i="2" s="1"/>
  <c r="E24" i="2"/>
  <c r="E47" i="2" s="1"/>
  <c r="D24" i="2"/>
  <c r="D47" i="2" s="1"/>
  <c r="N17" i="2"/>
  <c r="N40" i="2" s="1"/>
  <c r="M17" i="2"/>
  <c r="L17" i="2"/>
  <c r="L40" i="2" s="1"/>
  <c r="K17" i="2"/>
  <c r="J17" i="2"/>
  <c r="I17" i="2"/>
  <c r="H17" i="2"/>
  <c r="G17" i="2"/>
  <c r="G40" i="2" s="1"/>
  <c r="F17" i="2"/>
  <c r="F40" i="2" s="1"/>
  <c r="E17" i="2"/>
  <c r="D17" i="2"/>
  <c r="D40" i="2" s="1"/>
  <c r="N10" i="2"/>
  <c r="N33" i="2" s="1"/>
  <c r="M10" i="2"/>
  <c r="M33" i="2" s="1"/>
  <c r="L10" i="2"/>
  <c r="L33" i="2" s="1"/>
  <c r="K10" i="2"/>
  <c r="K33" i="2" s="1"/>
  <c r="J10" i="2"/>
  <c r="I10" i="2"/>
  <c r="I33" i="2" s="1"/>
  <c r="H10" i="2"/>
  <c r="G10" i="2"/>
  <c r="F10" i="2"/>
  <c r="F33" i="2" s="1"/>
  <c r="E10" i="2"/>
  <c r="E33" i="2" s="1"/>
  <c r="D10" i="2"/>
  <c r="D33" i="2" s="1"/>
  <c r="G230" i="2" l="1"/>
  <c r="G987" i="2"/>
  <c r="K311" i="2"/>
  <c r="D804" i="2"/>
  <c r="L804" i="2"/>
  <c r="E845" i="2"/>
  <c r="H1091" i="2"/>
  <c r="I168" i="2"/>
  <c r="I557" i="2"/>
  <c r="H700" i="2"/>
  <c r="K886" i="2"/>
  <c r="K1091" i="2"/>
  <c r="K700" i="2"/>
  <c r="E270" i="2"/>
  <c r="K128" i="2"/>
  <c r="K516" i="2"/>
  <c r="I946" i="2"/>
  <c r="D987" i="2"/>
  <c r="L987" i="2"/>
  <c r="N26" i="1" l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I31" i="1"/>
  <c r="I30" i="1"/>
  <c r="I29" i="1"/>
  <c r="F607" i="1" l="1"/>
  <c r="G607" i="1" s="1"/>
  <c r="H607" i="1" s="1"/>
  <c r="I607" i="1" s="1"/>
  <c r="J607" i="1" s="1"/>
  <c r="K607" i="1" s="1"/>
  <c r="L607" i="1" s="1"/>
  <c r="M607" i="1" s="1"/>
  <c r="F606" i="1"/>
  <c r="G606" i="1" s="1"/>
  <c r="H606" i="1" s="1"/>
  <c r="I606" i="1" s="1"/>
  <c r="J606" i="1" s="1"/>
  <c r="K606" i="1" s="1"/>
  <c r="L606" i="1" s="1"/>
  <c r="M606" i="1" s="1"/>
  <c r="L718" i="1"/>
  <c r="L336" i="1" s="1"/>
  <c r="K718" i="1"/>
  <c r="K336" i="1" s="1"/>
  <c r="I718" i="1"/>
  <c r="I336" i="1" s="1"/>
  <c r="F718" i="1"/>
  <c r="F336" i="1" s="1"/>
  <c r="F706" i="1"/>
  <c r="F421" i="1" s="1"/>
  <c r="G706" i="1"/>
  <c r="G421" i="1" s="1"/>
  <c r="H706" i="1"/>
  <c r="H421" i="1" s="1"/>
  <c r="I706" i="1"/>
  <c r="I421" i="1" s="1"/>
  <c r="J706" i="1"/>
  <c r="J421" i="1" s="1"/>
  <c r="K706" i="1"/>
  <c r="K421" i="1" s="1"/>
  <c r="L706" i="1"/>
  <c r="L421" i="1" s="1"/>
  <c r="M706" i="1"/>
  <c r="M421" i="1" s="1"/>
  <c r="E706" i="1"/>
  <c r="E421" i="1" s="1"/>
  <c r="F714" i="1"/>
  <c r="F371" i="1" s="1"/>
  <c r="F715" i="1"/>
  <c r="F372" i="1" s="1"/>
  <c r="F716" i="1"/>
  <c r="F717" i="1"/>
  <c r="F713" i="1"/>
  <c r="F397" i="1" s="1"/>
  <c r="F712" i="1"/>
  <c r="F396" i="1" s="1"/>
  <c r="L717" i="1"/>
  <c r="K717" i="1"/>
  <c r="I717" i="1"/>
  <c r="H717" i="1"/>
  <c r="L716" i="1"/>
  <c r="K716" i="1"/>
  <c r="I716" i="1"/>
  <c r="H716" i="1"/>
  <c r="L715" i="1"/>
  <c r="L372" i="1" s="1"/>
  <c r="K715" i="1"/>
  <c r="K372" i="1" s="1"/>
  <c r="I715" i="1"/>
  <c r="I372" i="1" s="1"/>
  <c r="H715" i="1"/>
  <c r="H372" i="1" s="1"/>
  <c r="L714" i="1"/>
  <c r="L371" i="1" s="1"/>
  <c r="K714" i="1"/>
  <c r="K371" i="1" s="1"/>
  <c r="I714" i="1"/>
  <c r="I371" i="1" s="1"/>
  <c r="H714" i="1"/>
  <c r="H371" i="1" s="1"/>
  <c r="L713" i="1"/>
  <c r="L397" i="1" s="1"/>
  <c r="K713" i="1"/>
  <c r="K397" i="1" s="1"/>
  <c r="I713" i="1"/>
  <c r="I397" i="1" s="1"/>
  <c r="H713" i="1"/>
  <c r="H397" i="1" s="1"/>
  <c r="L712" i="1"/>
  <c r="L396" i="1" s="1"/>
  <c r="K712" i="1"/>
  <c r="K396" i="1" s="1"/>
  <c r="I712" i="1"/>
  <c r="I396" i="1" s="1"/>
  <c r="H712" i="1"/>
  <c r="H396" i="1" s="1"/>
  <c r="K710" i="1"/>
  <c r="L710" i="1"/>
  <c r="K711" i="1"/>
  <c r="L711" i="1"/>
  <c r="H710" i="1"/>
  <c r="I710" i="1"/>
  <c r="H711" i="1"/>
  <c r="I711" i="1"/>
  <c r="F709" i="1"/>
  <c r="F708" i="1"/>
  <c r="I709" i="1"/>
  <c r="H709" i="1"/>
  <c r="I708" i="1"/>
  <c r="H708" i="1"/>
  <c r="K709" i="1"/>
  <c r="L709" i="1"/>
  <c r="L708" i="1"/>
  <c r="K708" i="1"/>
  <c r="G652" i="1"/>
  <c r="G667" i="1" s="1"/>
  <c r="J652" i="1"/>
  <c r="J667" i="1" s="1"/>
  <c r="G653" i="1"/>
  <c r="G680" i="1" s="1"/>
  <c r="J653" i="1"/>
  <c r="J680" i="1" s="1"/>
  <c r="G688" i="1"/>
  <c r="J688" i="1"/>
  <c r="M688" i="1"/>
  <c r="G687" i="1"/>
  <c r="H687" i="1"/>
  <c r="J687" i="1"/>
  <c r="M687" i="1"/>
  <c r="H686" i="1"/>
  <c r="J686" i="1"/>
  <c r="E166" i="1" s="1"/>
  <c r="AV166" i="1" s="1"/>
  <c r="M686" i="1"/>
  <c r="G686" i="1"/>
  <c r="E212" i="1" s="1"/>
  <c r="AV212" i="1" s="1"/>
  <c r="M679" i="1"/>
  <c r="G241" i="1" s="1"/>
  <c r="C679" i="1"/>
  <c r="F623" i="1"/>
  <c r="F622" i="1"/>
  <c r="F619" i="1"/>
  <c r="F618" i="1"/>
  <c r="F615" i="1"/>
  <c r="F614" i="1"/>
  <c r="L623" i="1"/>
  <c r="K623" i="1"/>
  <c r="L622" i="1"/>
  <c r="K622" i="1"/>
  <c r="L619" i="1"/>
  <c r="K619" i="1"/>
  <c r="L618" i="1"/>
  <c r="K618" i="1"/>
  <c r="L615" i="1"/>
  <c r="K615" i="1"/>
  <c r="L614" i="1"/>
  <c r="K614" i="1"/>
  <c r="I623" i="1"/>
  <c r="H623" i="1"/>
  <c r="I622" i="1"/>
  <c r="H622" i="1"/>
  <c r="I619" i="1"/>
  <c r="H619" i="1"/>
  <c r="I618" i="1"/>
  <c r="H618" i="1"/>
  <c r="H615" i="1"/>
  <c r="I615" i="1"/>
  <c r="I614" i="1"/>
  <c r="H614" i="1"/>
  <c r="C680" i="1"/>
  <c r="M680" i="1"/>
  <c r="G242" i="1" s="1"/>
  <c r="C678" i="1"/>
  <c r="C677" i="1"/>
  <c r="M676" i="1"/>
  <c r="G234" i="1" s="1"/>
  <c r="C667" i="1"/>
  <c r="C666" i="1"/>
  <c r="C665" i="1"/>
  <c r="C664" i="1"/>
  <c r="L675" i="1"/>
  <c r="K675" i="1"/>
  <c r="I675" i="1"/>
  <c r="H675" i="1"/>
  <c r="L674" i="1"/>
  <c r="K674" i="1"/>
  <c r="I674" i="1"/>
  <c r="L673" i="1"/>
  <c r="K673" i="1"/>
  <c r="I673" i="1"/>
  <c r="M667" i="1"/>
  <c r="F242" i="1" s="1"/>
  <c r="M666" i="1"/>
  <c r="F241" i="1" s="1"/>
  <c r="M663" i="1"/>
  <c r="F234" i="1" s="1"/>
  <c r="J648" i="1"/>
  <c r="J679" i="1" s="1"/>
  <c r="G648" i="1"/>
  <c r="G679" i="1" s="1"/>
  <c r="J647" i="1"/>
  <c r="J666" i="1" s="1"/>
  <c r="G647" i="1"/>
  <c r="G666" i="1" s="1"/>
  <c r="J632" i="1"/>
  <c r="J663" i="1" s="1"/>
  <c r="J633" i="1"/>
  <c r="J676" i="1" s="1"/>
  <c r="G633" i="1"/>
  <c r="G676" i="1" s="1"/>
  <c r="G632" i="1"/>
  <c r="G663" i="1" s="1"/>
  <c r="J642" i="1"/>
  <c r="J665" i="1" s="1"/>
  <c r="M642" i="1"/>
  <c r="M665" i="1" s="1"/>
  <c r="F239" i="1" s="1"/>
  <c r="J643" i="1"/>
  <c r="J678" i="1" s="1"/>
  <c r="M643" i="1"/>
  <c r="M678" i="1" s="1"/>
  <c r="G239" i="1" s="1"/>
  <c r="G643" i="1"/>
  <c r="G678" i="1" s="1"/>
  <c r="G642" i="1"/>
  <c r="G665" i="1" s="1"/>
  <c r="J637" i="1"/>
  <c r="J664" i="1" s="1"/>
  <c r="M637" i="1"/>
  <c r="M664" i="1" s="1"/>
  <c r="F238" i="1" s="1"/>
  <c r="J638" i="1"/>
  <c r="J677" i="1" s="1"/>
  <c r="M638" i="1"/>
  <c r="M677" i="1" s="1"/>
  <c r="G238" i="1" s="1"/>
  <c r="G638" i="1"/>
  <c r="G677" i="1" s="1"/>
  <c r="G637" i="1"/>
  <c r="G664" i="1" s="1"/>
  <c r="L662" i="1"/>
  <c r="K662" i="1"/>
  <c r="I662" i="1"/>
  <c r="H662" i="1"/>
  <c r="L661" i="1"/>
  <c r="K661" i="1"/>
  <c r="I661" i="1"/>
  <c r="L660" i="1"/>
  <c r="K660" i="1"/>
  <c r="I660" i="1"/>
  <c r="L654" i="1"/>
  <c r="K654" i="1"/>
  <c r="L651" i="1"/>
  <c r="L653" i="1" s="1"/>
  <c r="L680" i="1" s="1"/>
  <c r="K651" i="1"/>
  <c r="K652" i="1" s="1"/>
  <c r="K667" i="1" s="1"/>
  <c r="L650" i="1"/>
  <c r="K650" i="1"/>
  <c r="L649" i="1"/>
  <c r="K649" i="1"/>
  <c r="L646" i="1"/>
  <c r="K646" i="1"/>
  <c r="L645" i="1"/>
  <c r="K645" i="1"/>
  <c r="L644" i="1"/>
  <c r="K644" i="1"/>
  <c r="L641" i="1"/>
  <c r="K641" i="1"/>
  <c r="L640" i="1"/>
  <c r="K640" i="1"/>
  <c r="L639" i="1"/>
  <c r="K639" i="1"/>
  <c r="L636" i="1"/>
  <c r="K636" i="1"/>
  <c r="K637" i="1" s="1"/>
  <c r="K664" i="1" s="1"/>
  <c r="L635" i="1"/>
  <c r="K635" i="1"/>
  <c r="L634" i="1"/>
  <c r="K634" i="1"/>
  <c r="L631" i="1"/>
  <c r="L632" i="1" s="1"/>
  <c r="K631" i="1"/>
  <c r="K632" i="1" s="1"/>
  <c r="L630" i="1"/>
  <c r="K630" i="1"/>
  <c r="H631" i="1"/>
  <c r="H633" i="1" s="1"/>
  <c r="I631" i="1"/>
  <c r="I632" i="1" s="1"/>
  <c r="H634" i="1"/>
  <c r="I634" i="1"/>
  <c r="H635" i="1"/>
  <c r="I635" i="1"/>
  <c r="H636" i="1"/>
  <c r="I636" i="1"/>
  <c r="H639" i="1"/>
  <c r="I639" i="1"/>
  <c r="H640" i="1"/>
  <c r="I640" i="1"/>
  <c r="H641" i="1"/>
  <c r="I641" i="1"/>
  <c r="H644" i="1"/>
  <c r="I644" i="1"/>
  <c r="H645" i="1"/>
  <c r="I645" i="1"/>
  <c r="H646" i="1"/>
  <c r="I646" i="1"/>
  <c r="H649" i="1"/>
  <c r="I649" i="1"/>
  <c r="H650" i="1"/>
  <c r="I650" i="1"/>
  <c r="H651" i="1"/>
  <c r="H653" i="1" s="1"/>
  <c r="H680" i="1" s="1"/>
  <c r="I651" i="1"/>
  <c r="I653" i="1" s="1"/>
  <c r="I680" i="1" s="1"/>
  <c r="H654" i="1"/>
  <c r="I654" i="1"/>
  <c r="I630" i="1"/>
  <c r="H630" i="1"/>
  <c r="J656" i="1"/>
  <c r="M656" i="1"/>
  <c r="G656" i="1"/>
  <c r="E120" i="1" l="1"/>
  <c r="AV120" i="1" s="1"/>
  <c r="G691" i="1"/>
  <c r="E214" i="1" s="1"/>
  <c r="AV214" i="1" s="1"/>
  <c r="J692" i="1"/>
  <c r="E170" i="1" s="1"/>
  <c r="AV170" i="1" s="1"/>
  <c r="G689" i="1"/>
  <c r="E209" i="1" s="1"/>
  <c r="AV209" i="1" s="1"/>
  <c r="M689" i="1"/>
  <c r="F279" i="1" s="1"/>
  <c r="H676" i="1"/>
  <c r="M690" i="1"/>
  <c r="M693" i="1"/>
  <c r="J668" i="1"/>
  <c r="G690" i="1"/>
  <c r="E213" i="1" s="1"/>
  <c r="AV213" i="1" s="1"/>
  <c r="G681" i="1"/>
  <c r="M668" i="1"/>
  <c r="M681" i="1"/>
  <c r="G692" i="1"/>
  <c r="E216" i="1" s="1"/>
  <c r="AV216" i="1" s="1"/>
  <c r="J691" i="1"/>
  <c r="E168" i="1" s="1"/>
  <c r="AV168" i="1" s="1"/>
  <c r="J681" i="1"/>
  <c r="I688" i="1"/>
  <c r="M692" i="1"/>
  <c r="J693" i="1"/>
  <c r="E171" i="1" s="1"/>
  <c r="AV171" i="1" s="1"/>
  <c r="I687" i="1"/>
  <c r="J690" i="1"/>
  <c r="E167" i="1" s="1"/>
  <c r="AV167" i="1" s="1"/>
  <c r="J689" i="1"/>
  <c r="E163" i="1" s="1"/>
  <c r="AV163" i="1" s="1"/>
  <c r="L688" i="1"/>
  <c r="G668" i="1"/>
  <c r="M691" i="1"/>
  <c r="K653" i="1"/>
  <c r="K680" i="1" s="1"/>
  <c r="K693" i="1" s="1"/>
  <c r="E148" i="1" s="1"/>
  <c r="AV148" i="1" s="1"/>
  <c r="L652" i="1"/>
  <c r="L667" i="1" s="1"/>
  <c r="L693" i="1" s="1"/>
  <c r="I652" i="1"/>
  <c r="I667" i="1" s="1"/>
  <c r="I693" i="1" s="1"/>
  <c r="E194" i="1" s="1"/>
  <c r="AV194" i="1" s="1"/>
  <c r="H652" i="1"/>
  <c r="H667" i="1" s="1"/>
  <c r="H693" i="1" s="1"/>
  <c r="G693" i="1"/>
  <c r="E217" i="1" s="1"/>
  <c r="AV217" i="1" s="1"/>
  <c r="K688" i="1"/>
  <c r="K686" i="1"/>
  <c r="E143" i="1" s="1"/>
  <c r="AV143" i="1" s="1"/>
  <c r="K687" i="1"/>
  <c r="L687" i="1"/>
  <c r="H688" i="1"/>
  <c r="I686" i="1"/>
  <c r="E189" i="1" s="1"/>
  <c r="AV189" i="1" s="1"/>
  <c r="L686" i="1"/>
  <c r="L663" i="1"/>
  <c r="L648" i="1"/>
  <c r="L679" i="1" s="1"/>
  <c r="I633" i="1"/>
  <c r="I676" i="1" s="1"/>
  <c r="H648" i="1"/>
  <c r="H679" i="1" s="1"/>
  <c r="I647" i="1"/>
  <c r="L633" i="1"/>
  <c r="L676" i="1" s="1"/>
  <c r="H647" i="1"/>
  <c r="K663" i="1"/>
  <c r="K633" i="1"/>
  <c r="K676" i="1" s="1"/>
  <c r="H632" i="1"/>
  <c r="H663" i="1" s="1"/>
  <c r="K648" i="1"/>
  <c r="K679" i="1" s="1"/>
  <c r="L647" i="1"/>
  <c r="I663" i="1"/>
  <c r="K647" i="1"/>
  <c r="I648" i="1"/>
  <c r="I679" i="1" s="1"/>
  <c r="I643" i="1"/>
  <c r="I678" i="1" s="1"/>
  <c r="H643" i="1"/>
  <c r="H678" i="1" s="1"/>
  <c r="I642" i="1"/>
  <c r="I665" i="1" s="1"/>
  <c r="H642" i="1"/>
  <c r="H665" i="1" s="1"/>
  <c r="K638" i="1"/>
  <c r="K677" i="1" s="1"/>
  <c r="K690" i="1" s="1"/>
  <c r="E144" i="1" s="1"/>
  <c r="AV144" i="1" s="1"/>
  <c r="I637" i="1"/>
  <c r="I664" i="1" s="1"/>
  <c r="H637" i="1"/>
  <c r="H664" i="1" s="1"/>
  <c r="I638" i="1"/>
  <c r="I677" i="1" s="1"/>
  <c r="H638" i="1"/>
  <c r="H677" i="1" s="1"/>
  <c r="L642" i="1"/>
  <c r="L665" i="1" s="1"/>
  <c r="K642" i="1"/>
  <c r="K665" i="1" s="1"/>
  <c r="L637" i="1"/>
  <c r="L664" i="1" s="1"/>
  <c r="L643" i="1"/>
  <c r="L678" i="1" s="1"/>
  <c r="K643" i="1"/>
  <c r="K678" i="1" s="1"/>
  <c r="L638" i="1"/>
  <c r="L677" i="1" s="1"/>
  <c r="K656" i="1"/>
  <c r="L656" i="1"/>
  <c r="I656" i="1"/>
  <c r="H656" i="1"/>
  <c r="M624" i="1"/>
  <c r="M94" i="1" s="1"/>
  <c r="L624" i="1"/>
  <c r="L94" i="1" s="1"/>
  <c r="K624" i="1"/>
  <c r="K94" i="1" s="1"/>
  <c r="J624" i="1"/>
  <c r="J94" i="1" s="1"/>
  <c r="I624" i="1"/>
  <c r="I94" i="1" s="1"/>
  <c r="H624" i="1"/>
  <c r="H94" i="1" s="1"/>
  <c r="G624" i="1"/>
  <c r="G94" i="1" s="1"/>
  <c r="F624" i="1"/>
  <c r="F94" i="1" s="1"/>
  <c r="E624" i="1"/>
  <c r="M620" i="1"/>
  <c r="M93" i="1" s="1"/>
  <c r="L620" i="1"/>
  <c r="L93" i="1" s="1"/>
  <c r="K620" i="1"/>
  <c r="K93" i="1" s="1"/>
  <c r="J620" i="1"/>
  <c r="J93" i="1" s="1"/>
  <c r="I620" i="1"/>
  <c r="I93" i="1" s="1"/>
  <c r="H620" i="1"/>
  <c r="H93" i="1" s="1"/>
  <c r="G620" i="1"/>
  <c r="G93" i="1" s="1"/>
  <c r="F620" i="1"/>
  <c r="F93" i="1" s="1"/>
  <c r="E620" i="1"/>
  <c r="F616" i="1"/>
  <c r="F92" i="1" s="1"/>
  <c r="G616" i="1"/>
  <c r="G92" i="1" s="1"/>
  <c r="H616" i="1"/>
  <c r="H92" i="1" s="1"/>
  <c r="I616" i="1"/>
  <c r="I92" i="1" s="1"/>
  <c r="J616" i="1"/>
  <c r="J92" i="1" s="1"/>
  <c r="K616" i="1"/>
  <c r="K92" i="1" s="1"/>
  <c r="L616" i="1"/>
  <c r="L92" i="1" s="1"/>
  <c r="M616" i="1"/>
  <c r="M92" i="1" s="1"/>
  <c r="E616" i="1"/>
  <c r="M669" i="1" l="1"/>
  <c r="F243" i="1"/>
  <c r="M682" i="1"/>
  <c r="G243" i="1"/>
  <c r="E124" i="1"/>
  <c r="AV124" i="1" s="1"/>
  <c r="E122" i="1"/>
  <c r="AV122" i="1" s="1"/>
  <c r="E125" i="1"/>
  <c r="AV125" i="1" s="1"/>
  <c r="E121" i="1"/>
  <c r="AV121" i="1" s="1"/>
  <c r="E117" i="1"/>
  <c r="M696" i="1"/>
  <c r="J696" i="1"/>
  <c r="E172" i="1" s="1"/>
  <c r="G696" i="1"/>
  <c r="I691" i="1"/>
  <c r="E191" i="1" s="1"/>
  <c r="AV191" i="1" s="1"/>
  <c r="H691" i="1"/>
  <c r="I681" i="1"/>
  <c r="L690" i="1"/>
  <c r="K691" i="1"/>
  <c r="E145" i="1" s="1"/>
  <c r="AV145" i="1" s="1"/>
  <c r="H689" i="1"/>
  <c r="L691" i="1"/>
  <c r="K681" i="1"/>
  <c r="H681" i="1"/>
  <c r="L689" i="1"/>
  <c r="L681" i="1"/>
  <c r="K689" i="1"/>
  <c r="E140" i="1" s="1"/>
  <c r="AV140" i="1" s="1"/>
  <c r="H690" i="1"/>
  <c r="I690" i="1"/>
  <c r="E190" i="1" s="1"/>
  <c r="AV190" i="1" s="1"/>
  <c r="I689" i="1"/>
  <c r="E186" i="1" s="1"/>
  <c r="AV186" i="1" s="1"/>
  <c r="H666" i="1"/>
  <c r="H692" i="1" s="1"/>
  <c r="K666" i="1"/>
  <c r="K692" i="1" s="1"/>
  <c r="E147" i="1" s="1"/>
  <c r="AV147" i="1" s="1"/>
  <c r="I666" i="1"/>
  <c r="I692" i="1" s="1"/>
  <c r="E193" i="1" s="1"/>
  <c r="AV193" i="1" s="1"/>
  <c r="L666" i="1"/>
  <c r="L692" i="1" s="1"/>
  <c r="I1208" i="1"/>
  <c r="I1212" i="1" s="1"/>
  <c r="K1208" i="1"/>
  <c r="K1212" i="1" s="1"/>
  <c r="M1208" i="1"/>
  <c r="M1212" i="1" s="1"/>
  <c r="I1203" i="1"/>
  <c r="I1207" i="1" s="1"/>
  <c r="K1203" i="1"/>
  <c r="K1207" i="1" s="1"/>
  <c r="M1203" i="1"/>
  <c r="M1207" i="1" s="1"/>
  <c r="I1198" i="1"/>
  <c r="I1202" i="1" s="1"/>
  <c r="K1198" i="1"/>
  <c r="K1202" i="1" s="1"/>
  <c r="M1198" i="1"/>
  <c r="M1202" i="1" s="1"/>
  <c r="I1193" i="1"/>
  <c r="I1197" i="1" s="1"/>
  <c r="I402" i="1" s="1"/>
  <c r="I407" i="1" s="1"/>
  <c r="K1193" i="1"/>
  <c r="K1197" i="1" s="1"/>
  <c r="K402" i="1" s="1"/>
  <c r="M1193" i="1"/>
  <c r="M1197" i="1" s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58" i="1"/>
  <c r="H1157" i="1"/>
  <c r="L1156" i="1"/>
  <c r="L1155" i="1"/>
  <c r="L1154" i="1"/>
  <c r="L1148" i="1"/>
  <c r="L1147" i="1"/>
  <c r="L1146" i="1"/>
  <c r="L1145" i="1"/>
  <c r="L1144" i="1"/>
  <c r="L1143" i="1"/>
  <c r="L1142" i="1"/>
  <c r="L1141" i="1"/>
  <c r="L1140" i="1"/>
  <c r="J1156" i="1"/>
  <c r="J1155" i="1"/>
  <c r="J1154" i="1"/>
  <c r="J1148" i="1"/>
  <c r="J1147" i="1"/>
  <c r="J1146" i="1"/>
  <c r="J1145" i="1"/>
  <c r="J1144" i="1"/>
  <c r="J1143" i="1"/>
  <c r="J1142" i="1"/>
  <c r="J1141" i="1"/>
  <c r="J1140" i="1"/>
  <c r="H1141" i="1"/>
  <c r="H1142" i="1"/>
  <c r="H1143" i="1"/>
  <c r="H1144" i="1"/>
  <c r="H1145" i="1"/>
  <c r="H1146" i="1"/>
  <c r="H1147" i="1"/>
  <c r="H1148" i="1"/>
  <c r="H1154" i="1"/>
  <c r="H1155" i="1"/>
  <c r="H1156" i="1"/>
  <c r="H1140" i="1"/>
  <c r="F1208" i="1"/>
  <c r="E1208" i="1" s="1"/>
  <c r="E1212" i="1" s="1"/>
  <c r="G1208" i="1"/>
  <c r="G1212" i="1" s="1"/>
  <c r="F1203" i="1"/>
  <c r="F1207" i="1" s="1"/>
  <c r="G1203" i="1"/>
  <c r="G1207" i="1" s="1"/>
  <c r="E1203" i="1"/>
  <c r="E1207" i="1" s="1"/>
  <c r="F1198" i="1"/>
  <c r="F1202" i="1" s="1"/>
  <c r="G1198" i="1"/>
  <c r="G1202" i="1" s="1"/>
  <c r="E1198" i="1"/>
  <c r="E1202" i="1" s="1"/>
  <c r="G1193" i="1"/>
  <c r="G1197" i="1" s="1"/>
  <c r="G402" i="1" s="1"/>
  <c r="G407" i="1" s="1"/>
  <c r="F1193" i="1"/>
  <c r="F1197" i="1" s="1"/>
  <c r="F402" i="1" s="1"/>
  <c r="F407" i="1" s="1"/>
  <c r="E1193" i="1"/>
  <c r="E1197" i="1" s="1"/>
  <c r="E402" i="1" s="1"/>
  <c r="E407" i="1" s="1"/>
  <c r="I1188" i="1"/>
  <c r="I1192" i="1" s="1"/>
  <c r="I377" i="1" s="1"/>
  <c r="I383" i="1" s="1"/>
  <c r="K1188" i="1"/>
  <c r="K1192" i="1" s="1"/>
  <c r="K377" i="1" s="1"/>
  <c r="K383" i="1" s="1"/>
  <c r="M1188" i="1"/>
  <c r="M1192" i="1" s="1"/>
  <c r="M377" i="1" s="1"/>
  <c r="M383" i="1" s="1"/>
  <c r="F1188" i="1"/>
  <c r="F1192" i="1" s="1"/>
  <c r="F377" i="1" s="1"/>
  <c r="F383" i="1" s="1"/>
  <c r="G1188" i="1"/>
  <c r="G1192" i="1" s="1"/>
  <c r="G377" i="1" s="1"/>
  <c r="G383" i="1" s="1"/>
  <c r="E1188" i="1"/>
  <c r="E1192" i="1" s="1"/>
  <c r="E377" i="1" s="1"/>
  <c r="E383" i="1" s="1"/>
  <c r="J1132" i="1"/>
  <c r="L1132" i="1"/>
  <c r="H1132" i="1"/>
  <c r="L1131" i="1"/>
  <c r="J1131" i="1"/>
  <c r="H1131" i="1"/>
  <c r="L1129" i="1"/>
  <c r="J1129" i="1"/>
  <c r="H1129" i="1"/>
  <c r="L1105" i="1"/>
  <c r="L1106" i="1"/>
  <c r="L1107" i="1"/>
  <c r="L1108" i="1"/>
  <c r="L1109" i="1"/>
  <c r="L1110" i="1"/>
  <c r="L1111" i="1"/>
  <c r="L1203" i="1" s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93" i="1" s="1"/>
  <c r="L1126" i="1"/>
  <c r="L1127" i="1"/>
  <c r="L1198" i="1" s="1"/>
  <c r="L1128" i="1"/>
  <c r="J1105" i="1"/>
  <c r="J1106" i="1"/>
  <c r="J1107" i="1"/>
  <c r="J1108" i="1"/>
  <c r="J1109" i="1"/>
  <c r="J1110" i="1"/>
  <c r="J1111" i="1"/>
  <c r="J1112" i="1"/>
  <c r="J1113" i="1"/>
  <c r="J1114" i="1"/>
  <c r="J1115" i="1"/>
  <c r="R173" i="1" s="1"/>
  <c r="BI173" i="1" s="1"/>
  <c r="J1116" i="1"/>
  <c r="J1117" i="1"/>
  <c r="J1118" i="1"/>
  <c r="J1119" i="1"/>
  <c r="J1120" i="1"/>
  <c r="J1121" i="1"/>
  <c r="R166" i="1" s="1"/>
  <c r="BI166" i="1" s="1"/>
  <c r="J1122" i="1"/>
  <c r="J1123" i="1"/>
  <c r="J1124" i="1"/>
  <c r="R163" i="1" s="1"/>
  <c r="BI163" i="1" s="1"/>
  <c r="J1125" i="1"/>
  <c r="R168" i="1" s="1"/>
  <c r="BI168" i="1" s="1"/>
  <c r="J1126" i="1"/>
  <c r="R167" i="1" s="1"/>
  <c r="BI167" i="1" s="1"/>
  <c r="J1127" i="1"/>
  <c r="J1128" i="1"/>
  <c r="R170" i="1" s="1"/>
  <c r="BI170" i="1" s="1"/>
  <c r="H1105" i="1"/>
  <c r="H1106" i="1"/>
  <c r="H1107" i="1"/>
  <c r="H1108" i="1"/>
  <c r="H1109" i="1"/>
  <c r="H1110" i="1"/>
  <c r="H1111" i="1"/>
  <c r="H1203" i="1" s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98" i="1" s="1"/>
  <c r="H1128" i="1"/>
  <c r="H1208" i="1" s="1"/>
  <c r="L1104" i="1"/>
  <c r="L1103" i="1"/>
  <c r="L1102" i="1"/>
  <c r="L1100" i="1"/>
  <c r="L1099" i="1"/>
  <c r="L1098" i="1"/>
  <c r="L1097" i="1"/>
  <c r="L1096" i="1"/>
  <c r="L1095" i="1"/>
  <c r="L1094" i="1"/>
  <c r="L1093" i="1"/>
  <c r="L1092" i="1"/>
  <c r="L1091" i="1"/>
  <c r="J1104" i="1"/>
  <c r="J1103" i="1"/>
  <c r="J1102" i="1"/>
  <c r="J1100" i="1"/>
  <c r="J1099" i="1"/>
  <c r="J1098" i="1"/>
  <c r="J1097" i="1"/>
  <c r="J1096" i="1"/>
  <c r="J1095" i="1"/>
  <c r="J1094" i="1"/>
  <c r="J1093" i="1"/>
  <c r="J1092" i="1"/>
  <c r="J1091" i="1"/>
  <c r="H1092" i="1"/>
  <c r="H1093" i="1"/>
  <c r="H1094" i="1"/>
  <c r="H1095" i="1"/>
  <c r="H1096" i="1"/>
  <c r="H1097" i="1"/>
  <c r="H1098" i="1"/>
  <c r="H1099" i="1"/>
  <c r="H1100" i="1"/>
  <c r="H1102" i="1"/>
  <c r="H1103" i="1"/>
  <c r="H1104" i="1"/>
  <c r="H1091" i="1"/>
  <c r="R220" i="1"/>
  <c r="R197" i="1"/>
  <c r="R151" i="1"/>
  <c r="O66" i="1"/>
  <c r="P66" i="1"/>
  <c r="P67" i="1" s="1"/>
  <c r="P77" i="1" s="1"/>
  <c r="G66" i="1"/>
  <c r="G67" i="1" s="1"/>
  <c r="H66" i="1"/>
  <c r="H67" i="1" s="1"/>
  <c r="I66" i="1"/>
  <c r="I67" i="1" s="1"/>
  <c r="J66" i="1"/>
  <c r="J67" i="1" s="1"/>
  <c r="K66" i="1"/>
  <c r="K67" i="1" s="1"/>
  <c r="L66" i="1"/>
  <c r="L67" i="1" s="1"/>
  <c r="M66" i="1"/>
  <c r="M67" i="1" s="1"/>
  <c r="N66" i="1"/>
  <c r="G594" i="1"/>
  <c r="R221" i="1" l="1"/>
  <c r="BI220" i="1"/>
  <c r="H1130" i="1"/>
  <c r="J1130" i="1"/>
  <c r="L1130" i="1"/>
  <c r="AV117" i="1"/>
  <c r="E175" i="1"/>
  <c r="AV172" i="1"/>
  <c r="R152" i="1"/>
  <c r="BI151" i="1"/>
  <c r="R198" i="1"/>
  <c r="BI197" i="1"/>
  <c r="L402" i="1"/>
  <c r="K407" i="1"/>
  <c r="F246" i="1"/>
  <c r="R171" i="1"/>
  <c r="BI171" i="1" s="1"/>
  <c r="G719" i="1"/>
  <c r="E218" i="1"/>
  <c r="D211" i="1"/>
  <c r="AU211" i="1" s="1"/>
  <c r="AU188" i="1"/>
  <c r="AU165" i="1"/>
  <c r="AU142" i="1"/>
  <c r="R128" i="1"/>
  <c r="E126" i="1"/>
  <c r="O67" i="1"/>
  <c r="P82" i="1"/>
  <c r="P80" i="1"/>
  <c r="N67" i="1"/>
  <c r="I668" i="1"/>
  <c r="I696" i="1" s="1"/>
  <c r="E195" i="1" s="1"/>
  <c r="H668" i="1"/>
  <c r="H696" i="1" s="1"/>
  <c r="L668" i="1"/>
  <c r="L696" i="1" s="1"/>
  <c r="K668" i="1"/>
  <c r="K696" i="1" s="1"/>
  <c r="E149" i="1" s="1"/>
  <c r="J1208" i="1"/>
  <c r="L1208" i="1"/>
  <c r="H1193" i="1"/>
  <c r="J1193" i="1"/>
  <c r="H1188" i="1"/>
  <c r="J1188" i="1"/>
  <c r="L1188" i="1"/>
  <c r="F1212" i="1"/>
  <c r="J1198" i="1"/>
  <c r="J1203" i="1"/>
  <c r="R174" i="1"/>
  <c r="BI174" i="1" s="1"/>
  <c r="L1219" i="1"/>
  <c r="M1219" i="1" s="1"/>
  <c r="L1220" i="1"/>
  <c r="M1220" i="1" s="1"/>
  <c r="L1221" i="1"/>
  <c r="M1221" i="1" s="1"/>
  <c r="L1222" i="1"/>
  <c r="M1222" i="1" s="1"/>
  <c r="L1223" i="1"/>
  <c r="M1223" i="1" s="1"/>
  <c r="L1224" i="1"/>
  <c r="M1224" i="1" s="1"/>
  <c r="L1218" i="1"/>
  <c r="L1075" i="1"/>
  <c r="L1074" i="1"/>
  <c r="L1073" i="1"/>
  <c r="L1072" i="1"/>
  <c r="J1075" i="1"/>
  <c r="J1074" i="1"/>
  <c r="J1073" i="1"/>
  <c r="J1072" i="1"/>
  <c r="H1073" i="1"/>
  <c r="H1074" i="1"/>
  <c r="H1075" i="1"/>
  <c r="H1072" i="1"/>
  <c r="F1076" i="1"/>
  <c r="F101" i="1" s="1"/>
  <c r="F108" i="1" s="1"/>
  <c r="G1076" i="1"/>
  <c r="G101" i="1" s="1"/>
  <c r="G108" i="1" s="1"/>
  <c r="I1076" i="1"/>
  <c r="I101" i="1" s="1"/>
  <c r="I108" i="1" s="1"/>
  <c r="K1076" i="1"/>
  <c r="K101" i="1" s="1"/>
  <c r="K108" i="1" s="1"/>
  <c r="M1076" i="1"/>
  <c r="E1076" i="1"/>
  <c r="E101" i="1" s="1"/>
  <c r="J1196" i="1"/>
  <c r="J1195" i="1"/>
  <c r="J1191" i="1"/>
  <c r="J1190" i="1"/>
  <c r="L1191" i="1"/>
  <c r="L1190" i="1"/>
  <c r="L1196" i="1"/>
  <c r="L1195" i="1"/>
  <c r="L1201" i="1"/>
  <c r="L1200" i="1"/>
  <c r="J1201" i="1"/>
  <c r="J1200" i="1"/>
  <c r="J1206" i="1"/>
  <c r="J1205" i="1"/>
  <c r="L1206" i="1"/>
  <c r="L1205" i="1"/>
  <c r="L1211" i="1"/>
  <c r="L1210" i="1"/>
  <c r="J1211" i="1"/>
  <c r="J1210" i="1"/>
  <c r="H1211" i="1"/>
  <c r="H1210" i="1"/>
  <c r="H1206" i="1"/>
  <c r="H1205" i="1"/>
  <c r="H1201" i="1"/>
  <c r="H1200" i="1"/>
  <c r="H1196" i="1"/>
  <c r="H1195" i="1"/>
  <c r="H1191" i="1"/>
  <c r="H1190" i="1"/>
  <c r="M1068" i="1"/>
  <c r="E221" i="1" l="1"/>
  <c r="AV218" i="1"/>
  <c r="E152" i="1"/>
  <c r="AV149" i="1"/>
  <c r="AV126" i="1"/>
  <c r="E198" i="1"/>
  <c r="AV195" i="1"/>
  <c r="F295" i="1"/>
  <c r="F293" i="1"/>
  <c r="F292" i="1" s="1"/>
  <c r="F291" i="1"/>
  <c r="AU119" i="1"/>
  <c r="BI128" i="1"/>
  <c r="F305" i="1"/>
  <c r="F306" i="1" s="1"/>
  <c r="F304" i="1"/>
  <c r="M402" i="1"/>
  <c r="M407" i="1" s="1"/>
  <c r="L407" i="1"/>
  <c r="F264" i="1"/>
  <c r="F302" i="1" s="1"/>
  <c r="F263" i="1"/>
  <c r="F300" i="1" s="1"/>
  <c r="F301" i="1"/>
  <c r="F303" i="1"/>
  <c r="E236" i="1"/>
  <c r="N77" i="1"/>
  <c r="N82" i="1" s="1"/>
  <c r="F262" i="1"/>
  <c r="F298" i="1" s="1"/>
  <c r="F299" i="1" s="1"/>
  <c r="R175" i="1"/>
  <c r="R129" i="1"/>
  <c r="E129" i="1"/>
  <c r="M1077" i="1"/>
  <c r="M101" i="1"/>
  <c r="M108" i="1" s="1"/>
  <c r="H1197" i="1"/>
  <c r="H402" i="1" s="1"/>
  <c r="H407" i="1" s="1"/>
  <c r="J1212" i="1"/>
  <c r="H1202" i="1"/>
  <c r="L1212" i="1"/>
  <c r="L1202" i="1"/>
  <c r="J1197" i="1"/>
  <c r="J402" i="1" s="1"/>
  <c r="J407" i="1" s="1"/>
  <c r="H1207" i="1"/>
  <c r="L1207" i="1"/>
  <c r="L1197" i="1"/>
  <c r="H1212" i="1"/>
  <c r="J1207" i="1"/>
  <c r="J1202" i="1"/>
  <c r="L1192" i="1"/>
  <c r="L377" i="1" s="1"/>
  <c r="L383" i="1" s="1"/>
  <c r="M1218" i="1"/>
  <c r="L1225" i="1"/>
  <c r="M1225" i="1" s="1"/>
  <c r="J1192" i="1"/>
  <c r="J377" i="1" s="1"/>
  <c r="J383" i="1" s="1"/>
  <c r="H1192" i="1"/>
  <c r="H377" i="1" s="1"/>
  <c r="H383" i="1" s="1"/>
  <c r="L1076" i="1"/>
  <c r="L101" i="1" s="1"/>
  <c r="L108" i="1" s="1"/>
  <c r="J1076" i="1"/>
  <c r="J101" i="1" s="1"/>
  <c r="J108" i="1" s="1"/>
  <c r="H1076" i="1"/>
  <c r="H101" i="1" s="1"/>
  <c r="H108" i="1" s="1"/>
  <c r="H1054" i="1"/>
  <c r="N80" i="1" l="1"/>
  <c r="E92" i="1" s="1"/>
  <c r="E102" i="1" s="1"/>
  <c r="R1043" i="1"/>
  <c r="R1044" i="1"/>
  <c r="R1045" i="1"/>
  <c r="R1047" i="1"/>
  <c r="R1048" i="1"/>
  <c r="R1049" i="1"/>
  <c r="R1046" i="1"/>
  <c r="C1049" i="1"/>
  <c r="C1048" i="1"/>
  <c r="C1047" i="1"/>
  <c r="C1046" i="1"/>
  <c r="C1045" i="1"/>
  <c r="C1044" i="1"/>
  <c r="C1043" i="1"/>
  <c r="C1042" i="1"/>
  <c r="D1049" i="1"/>
  <c r="D1048" i="1"/>
  <c r="D1047" i="1"/>
  <c r="D1046" i="1"/>
  <c r="D1045" i="1"/>
  <c r="D1044" i="1"/>
  <c r="D1043" i="1"/>
  <c r="D1042" i="1"/>
  <c r="G1041" i="1"/>
  <c r="G1042" i="1"/>
  <c r="G1043" i="1"/>
  <c r="G1044" i="1"/>
  <c r="G1045" i="1"/>
  <c r="G1046" i="1"/>
  <c r="G1047" i="1"/>
  <c r="G1048" i="1"/>
  <c r="G1049" i="1"/>
  <c r="I1041" i="1"/>
  <c r="J1041" i="1"/>
  <c r="K1041" i="1"/>
  <c r="L1041" i="1"/>
  <c r="M1041" i="1"/>
  <c r="N1041" i="1"/>
  <c r="O1041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D1041" i="1"/>
  <c r="I1042" i="1"/>
  <c r="J1042" i="1"/>
  <c r="K1042" i="1"/>
  <c r="L1042" i="1"/>
  <c r="M1042" i="1"/>
  <c r="N1042" i="1"/>
  <c r="O1042" i="1"/>
  <c r="I1043" i="1"/>
  <c r="J1043" i="1"/>
  <c r="K1043" i="1"/>
  <c r="L1043" i="1"/>
  <c r="M1043" i="1"/>
  <c r="N1043" i="1"/>
  <c r="O1043" i="1"/>
  <c r="I1044" i="1"/>
  <c r="J1044" i="1"/>
  <c r="K1044" i="1"/>
  <c r="L1044" i="1"/>
  <c r="M1044" i="1"/>
  <c r="N1044" i="1"/>
  <c r="O1044" i="1"/>
  <c r="I1045" i="1"/>
  <c r="J1045" i="1"/>
  <c r="K1045" i="1"/>
  <c r="L1045" i="1"/>
  <c r="M1045" i="1"/>
  <c r="N1045" i="1"/>
  <c r="O1045" i="1"/>
  <c r="I1046" i="1"/>
  <c r="J1046" i="1"/>
  <c r="K1046" i="1"/>
  <c r="L1046" i="1"/>
  <c r="M1046" i="1"/>
  <c r="N1046" i="1"/>
  <c r="O1046" i="1"/>
  <c r="I1047" i="1"/>
  <c r="J1047" i="1"/>
  <c r="K1047" i="1"/>
  <c r="L1047" i="1"/>
  <c r="M1047" i="1"/>
  <c r="N1047" i="1"/>
  <c r="O1047" i="1"/>
  <c r="I1048" i="1"/>
  <c r="J1048" i="1"/>
  <c r="K1048" i="1"/>
  <c r="L1048" i="1"/>
  <c r="M1048" i="1"/>
  <c r="N1048" i="1"/>
  <c r="O1048" i="1"/>
  <c r="I1049" i="1"/>
  <c r="J1049" i="1"/>
  <c r="K1049" i="1"/>
  <c r="L1049" i="1"/>
  <c r="M1049" i="1"/>
  <c r="N1049" i="1"/>
  <c r="O1049" i="1"/>
  <c r="H1049" i="1"/>
  <c r="H1048" i="1"/>
  <c r="H1047" i="1"/>
  <c r="H1046" i="1"/>
  <c r="H1045" i="1"/>
  <c r="H1044" i="1"/>
  <c r="H1043" i="1"/>
  <c r="H1042" i="1"/>
  <c r="J1028" i="1"/>
  <c r="R1050" i="1" s="1"/>
  <c r="K1028" i="1"/>
  <c r="M1028" i="1"/>
  <c r="G1028" i="1"/>
  <c r="I1028" i="1"/>
  <c r="E1028" i="1"/>
  <c r="M991" i="1"/>
  <c r="X245" i="1" l="1"/>
  <c r="Y236" i="1"/>
  <c r="X242" i="1"/>
  <c r="X236" i="1"/>
  <c r="Y239" i="1"/>
  <c r="Y238" i="1"/>
  <c r="X238" i="1"/>
  <c r="X235" i="1"/>
  <c r="Y242" i="1"/>
  <c r="Y241" i="1"/>
  <c r="X241" i="1"/>
  <c r="X239" i="1"/>
  <c r="Y245" i="1"/>
  <c r="Y235" i="1"/>
  <c r="E93" i="1"/>
  <c r="E94" i="1" s="1"/>
  <c r="E95" i="1" s="1"/>
  <c r="E96" i="1" s="1"/>
  <c r="E97" i="1" s="1"/>
  <c r="P1049" i="1"/>
  <c r="P1045" i="1"/>
  <c r="P1048" i="1"/>
  <c r="P1042" i="1"/>
  <c r="P1046" i="1"/>
  <c r="P1043" i="1"/>
  <c r="P1047" i="1"/>
  <c r="P1044" i="1"/>
  <c r="J947" i="1"/>
  <c r="J946" i="1"/>
  <c r="J945" i="1"/>
  <c r="M947" i="1"/>
  <c r="M946" i="1"/>
  <c r="M945" i="1"/>
  <c r="M931" i="1"/>
  <c r="M928" i="1"/>
  <c r="J931" i="1"/>
  <c r="J928" i="1"/>
  <c r="M925" i="1"/>
  <c r="J925" i="1"/>
  <c r="L961" i="1"/>
  <c r="L966" i="1" s="1"/>
  <c r="L338" i="1" s="1"/>
  <c r="L962" i="1"/>
  <c r="L967" i="1" s="1"/>
  <c r="L339" i="1" s="1"/>
  <c r="L960" i="1"/>
  <c r="L965" i="1" s="1"/>
  <c r="L337" i="1" s="1"/>
  <c r="K961" i="1"/>
  <c r="K966" i="1" s="1"/>
  <c r="K338" i="1" s="1"/>
  <c r="K962" i="1"/>
  <c r="K967" i="1" s="1"/>
  <c r="K339" i="1" s="1"/>
  <c r="K960" i="1"/>
  <c r="K965" i="1" s="1"/>
  <c r="K337" i="1" s="1"/>
  <c r="I962" i="1"/>
  <c r="I967" i="1" s="1"/>
  <c r="I339" i="1" s="1"/>
  <c r="I961" i="1"/>
  <c r="I966" i="1" s="1"/>
  <c r="I338" i="1" s="1"/>
  <c r="I960" i="1"/>
  <c r="I965" i="1" s="1"/>
  <c r="I337" i="1" s="1"/>
  <c r="G961" i="1"/>
  <c r="G966" i="1" s="1"/>
  <c r="G338" i="1" s="1"/>
  <c r="G962" i="1"/>
  <c r="G967" i="1" s="1"/>
  <c r="G339" i="1" s="1"/>
  <c r="G960" i="1"/>
  <c r="G965" i="1" s="1"/>
  <c r="G337" i="1" s="1"/>
  <c r="M953" i="1" l="1"/>
  <c r="J953" i="1"/>
  <c r="J499" i="1" s="1"/>
  <c r="X246" i="1"/>
  <c r="Q1043" i="1"/>
  <c r="P1050" i="1"/>
  <c r="J951" i="1"/>
  <c r="M955" i="1"/>
  <c r="M951" i="1"/>
  <c r="J955" i="1"/>
  <c r="H910" i="1"/>
  <c r="L73" i="1"/>
  <c r="M73" i="1"/>
  <c r="N73" i="1"/>
  <c r="O73" i="1"/>
  <c r="K73" i="1"/>
  <c r="O77" i="1"/>
  <c r="G77" i="1"/>
  <c r="H77" i="1"/>
  <c r="I77" i="1"/>
  <c r="J77" i="1"/>
  <c r="K77" i="1"/>
  <c r="L77" i="1"/>
  <c r="M77" i="1"/>
  <c r="E853" i="1"/>
  <c r="E862" i="1" s="1"/>
  <c r="E854" i="1"/>
  <c r="E863" i="1" s="1"/>
  <c r="E855" i="1"/>
  <c r="E864" i="1" s="1"/>
  <c r="E856" i="1"/>
  <c r="E865" i="1" s="1"/>
  <c r="E852" i="1"/>
  <c r="E861" i="1" s="1"/>
  <c r="E876" i="1"/>
  <c r="E875" i="1"/>
  <c r="E874" i="1"/>
  <c r="M852" i="1"/>
  <c r="M861" i="1"/>
  <c r="J861" i="1"/>
  <c r="J852" i="1"/>
  <c r="M843" i="1"/>
  <c r="J843" i="1"/>
  <c r="G840" i="1" s="1"/>
  <c r="M804" i="1"/>
  <c r="F259" i="1" s="1"/>
  <c r="J954" i="1" l="1"/>
  <c r="J500" i="1" s="1"/>
  <c r="J956" i="1"/>
  <c r="J502" i="1" s="1"/>
  <c r="J501" i="1"/>
  <c r="M952" i="1"/>
  <c r="M498" i="1" s="1"/>
  <c r="M497" i="1"/>
  <c r="J952" i="1"/>
  <c r="J498" i="1" s="1"/>
  <c r="J497" i="1"/>
  <c r="M956" i="1"/>
  <c r="M502" i="1" s="1"/>
  <c r="M501" i="1"/>
  <c r="M954" i="1"/>
  <c r="M500" i="1" s="1"/>
  <c r="M499" i="1"/>
  <c r="E881" i="1"/>
  <c r="E889" i="1" s="1"/>
  <c r="M875" i="1"/>
  <c r="D217" i="1"/>
  <c r="M876" i="1"/>
  <c r="H82" i="1"/>
  <c r="H80" i="1"/>
  <c r="M82" i="1"/>
  <c r="M80" i="1"/>
  <c r="L82" i="1"/>
  <c r="L80" i="1"/>
  <c r="K80" i="1"/>
  <c r="K82" i="1"/>
  <c r="J82" i="1"/>
  <c r="J80" i="1"/>
  <c r="G82" i="1"/>
  <c r="G80" i="1"/>
  <c r="O82" i="1"/>
  <c r="O80" i="1"/>
  <c r="I82" i="1"/>
  <c r="I80" i="1"/>
  <c r="J874" i="1"/>
  <c r="F874" i="1" s="1"/>
  <c r="J875" i="1"/>
  <c r="E882" i="1"/>
  <c r="M874" i="1"/>
  <c r="J876" i="1"/>
  <c r="F167" i="1" s="1"/>
  <c r="AW167" i="1" s="1"/>
  <c r="E883" i="1"/>
  <c r="I1352" i="1"/>
  <c r="H1352" i="1"/>
  <c r="G1352" i="1"/>
  <c r="F1352" i="1"/>
  <c r="E1352" i="1"/>
  <c r="D1352" i="1"/>
  <c r="F1321" i="1"/>
  <c r="G1321" i="1"/>
  <c r="H1321" i="1"/>
  <c r="I1321" i="1"/>
  <c r="D1321" i="1"/>
  <c r="E1321" i="1"/>
  <c r="C1323" i="1"/>
  <c r="C1354" i="1" s="1"/>
  <c r="C1324" i="1"/>
  <c r="C1355" i="1" s="1"/>
  <c r="C1325" i="1"/>
  <c r="C1356" i="1" s="1"/>
  <c r="C1326" i="1"/>
  <c r="C1357" i="1" s="1"/>
  <c r="C1327" i="1"/>
  <c r="C1358" i="1" s="1"/>
  <c r="C1328" i="1"/>
  <c r="C1359" i="1" s="1"/>
  <c r="C1329" i="1"/>
  <c r="C1360" i="1" s="1"/>
  <c r="C1330" i="1"/>
  <c r="C1361" i="1" s="1"/>
  <c r="C1331" i="1"/>
  <c r="C1362" i="1" s="1"/>
  <c r="C1332" i="1"/>
  <c r="C1363" i="1" s="1"/>
  <c r="C1333" i="1"/>
  <c r="C1364" i="1" s="1"/>
  <c r="C1322" i="1"/>
  <c r="D152" i="1" l="1"/>
  <c r="AU148" i="1"/>
  <c r="D198" i="1"/>
  <c r="AU194" i="1"/>
  <c r="D221" i="1"/>
  <c r="AU217" i="1"/>
  <c r="D175" i="1"/>
  <c r="AU171" i="1"/>
  <c r="AU125" i="1"/>
  <c r="D98" i="1"/>
  <c r="D242" i="1"/>
  <c r="E242" i="1"/>
  <c r="C1338" i="1"/>
  <c r="C1353" i="1"/>
  <c r="J881" i="1"/>
  <c r="G169" i="1" s="1"/>
  <c r="AX169" i="1" s="1"/>
  <c r="H875" i="1"/>
  <c r="F168" i="1"/>
  <c r="AW168" i="1" s="1"/>
  <c r="H874" i="1"/>
  <c r="F169" i="1"/>
  <c r="AW169" i="1" s="1"/>
  <c r="F875" i="1"/>
  <c r="I874" i="1"/>
  <c r="F192" i="1" s="1"/>
  <c r="AW192" i="1" s="1"/>
  <c r="F121" i="1"/>
  <c r="L876" i="1"/>
  <c r="K876" i="1"/>
  <c r="F144" i="1" s="1"/>
  <c r="AW144" i="1" s="1"/>
  <c r="D129" i="1"/>
  <c r="F123" i="1"/>
  <c r="AW123" i="1" s="1"/>
  <c r="F122" i="1"/>
  <c r="AW122" i="1" s="1"/>
  <c r="G876" i="1"/>
  <c r="F213" i="1" s="1"/>
  <c r="AW213" i="1" s="1"/>
  <c r="M882" i="1"/>
  <c r="F876" i="1"/>
  <c r="G874" i="1"/>
  <c r="F215" i="1" s="1"/>
  <c r="AW215" i="1" s="1"/>
  <c r="K875" i="1"/>
  <c r="F145" i="1" s="1"/>
  <c r="AW145" i="1" s="1"/>
  <c r="L875" i="1"/>
  <c r="I876" i="1"/>
  <c r="F190" i="1" s="1"/>
  <c r="AW190" i="1" s="1"/>
  <c r="I875" i="1"/>
  <c r="F191" i="1" s="1"/>
  <c r="AW191" i="1" s="1"/>
  <c r="K874" i="1"/>
  <c r="F146" i="1" s="1"/>
  <c r="AW146" i="1" s="1"/>
  <c r="L874" i="1"/>
  <c r="H876" i="1"/>
  <c r="G875" i="1"/>
  <c r="F214" i="1" s="1"/>
  <c r="AW214" i="1" s="1"/>
  <c r="M881" i="1"/>
  <c r="E890" i="1"/>
  <c r="J882" i="1"/>
  <c r="G168" i="1" s="1"/>
  <c r="AX168" i="1" s="1"/>
  <c r="J883" i="1"/>
  <c r="G167" i="1" s="1"/>
  <c r="AX167" i="1" s="1"/>
  <c r="M883" i="1"/>
  <c r="E891" i="1"/>
  <c r="J889" i="1"/>
  <c r="H169" i="1" s="1"/>
  <c r="AY169" i="1" s="1"/>
  <c r="M889" i="1"/>
  <c r="K280" i="1" s="1"/>
  <c r="AW121" i="1" l="1"/>
  <c r="D246" i="1"/>
  <c r="I881" i="1"/>
  <c r="G192" i="1" s="1"/>
  <c r="AX192" i="1" s="1"/>
  <c r="G883" i="1"/>
  <c r="G213" i="1" s="1"/>
  <c r="AX213" i="1" s="1"/>
  <c r="H881" i="1"/>
  <c r="F175" i="1"/>
  <c r="F882" i="1"/>
  <c r="F881" i="1"/>
  <c r="I889" i="1"/>
  <c r="H192" i="1" s="1"/>
  <c r="AY192" i="1" s="1"/>
  <c r="G175" i="1"/>
  <c r="G881" i="1"/>
  <c r="G215" i="1" s="1"/>
  <c r="AX215" i="1" s="1"/>
  <c r="K881" i="1"/>
  <c r="G146" i="1" s="1"/>
  <c r="AX146" i="1" s="1"/>
  <c r="F198" i="1"/>
  <c r="I882" i="1"/>
  <c r="G191" i="1" s="1"/>
  <c r="AX191" i="1" s="1"/>
  <c r="F152" i="1"/>
  <c r="F221" i="1"/>
  <c r="L881" i="1"/>
  <c r="G889" i="1"/>
  <c r="H215" i="1" s="1"/>
  <c r="AY215" i="1" s="1"/>
  <c r="H889" i="1"/>
  <c r="F883" i="1"/>
  <c r="G121" i="1"/>
  <c r="AX121" i="1" s="1"/>
  <c r="K883" i="1"/>
  <c r="G144" i="1" s="1"/>
  <c r="AX144" i="1" s="1"/>
  <c r="L883" i="1"/>
  <c r="F129" i="1"/>
  <c r="L882" i="1"/>
  <c r="K882" i="1"/>
  <c r="G145" i="1" s="1"/>
  <c r="AX145" i="1" s="1"/>
  <c r="G882" i="1"/>
  <c r="G214" i="1" s="1"/>
  <c r="AX214" i="1" s="1"/>
  <c r="J890" i="1"/>
  <c r="G890" i="1" s="1"/>
  <c r="H214" i="1" s="1"/>
  <c r="AY214" i="1" s="1"/>
  <c r="G123" i="1"/>
  <c r="AX123" i="1" s="1"/>
  <c r="H882" i="1"/>
  <c r="G122" i="1"/>
  <c r="AX122" i="1" s="1"/>
  <c r="H123" i="1"/>
  <c r="AY123" i="1" s="1"/>
  <c r="H883" i="1"/>
  <c r="K889" i="1"/>
  <c r="H146" i="1" s="1"/>
  <c r="AY146" i="1" s="1"/>
  <c r="L889" i="1"/>
  <c r="F889" i="1"/>
  <c r="I883" i="1"/>
  <c r="G190" i="1" s="1"/>
  <c r="AX190" i="1" s="1"/>
  <c r="M890" i="1"/>
  <c r="H280" i="1" s="1"/>
  <c r="H293" i="1" s="1"/>
  <c r="J891" i="1"/>
  <c r="H167" i="1" s="1"/>
  <c r="AY167" i="1" s="1"/>
  <c r="M891" i="1"/>
  <c r="G280" i="1" s="1"/>
  <c r="G293" i="1" s="1"/>
  <c r="G221" i="1" l="1"/>
  <c r="H890" i="1"/>
  <c r="I890" i="1"/>
  <c r="H191" i="1" s="1"/>
  <c r="AY191" i="1" s="1"/>
  <c r="G198" i="1"/>
  <c r="G152" i="1"/>
  <c r="F890" i="1"/>
  <c r="H168" i="1"/>
  <c r="G891" i="1"/>
  <c r="H213" i="1" s="1"/>
  <c r="G129" i="1"/>
  <c r="H122" i="1"/>
  <c r="AY122" i="1" s="1"/>
  <c r="H121" i="1"/>
  <c r="K891" i="1"/>
  <c r="H144" i="1" s="1"/>
  <c r="AY144" i="1" s="1"/>
  <c r="L891" i="1"/>
  <c r="K890" i="1"/>
  <c r="H145" i="1" s="1"/>
  <c r="AY145" i="1" s="1"/>
  <c r="L890" i="1"/>
  <c r="F891" i="1"/>
  <c r="I891" i="1"/>
  <c r="H190" i="1" s="1"/>
  <c r="AY190" i="1" s="1"/>
  <c r="H891" i="1"/>
  <c r="H221" i="1" l="1"/>
  <c r="AY213" i="1"/>
  <c r="H175" i="1"/>
  <c r="AY168" i="1"/>
  <c r="AY121" i="1"/>
  <c r="H198" i="1"/>
  <c r="H152" i="1"/>
  <c r="H129" i="1"/>
</calcChain>
</file>

<file path=xl/comments1.xml><?xml version="1.0" encoding="utf-8"?>
<comments xmlns="http://schemas.openxmlformats.org/spreadsheetml/2006/main">
  <authors>
    <author>Densing Martin</author>
  </authors>
  <commentList>
    <comment ref="N61" authorId="0">
      <text>
        <r>
          <rPr>
            <b/>
            <sz val="9"/>
            <color indexed="81"/>
            <rFont val="Tahoma"/>
            <family val="2"/>
          </rPr>
          <t>Densing Martin:</t>
        </r>
        <r>
          <rPr>
            <sz val="9"/>
            <color indexed="81"/>
            <rFont val="Tahoma"/>
            <family val="2"/>
          </rPr>
          <t xml:space="preserve">
VSE (Table 6.3)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Densing Martin:</t>
        </r>
        <r>
          <rPr>
            <sz val="9"/>
            <color indexed="81"/>
            <rFont val="Tahoma"/>
            <family val="2"/>
          </rPr>
          <t xml:space="preserve">
VSE estimation with Source PSI</t>
        </r>
      </text>
    </comment>
  </commentList>
</comments>
</file>

<file path=xl/sharedStrings.xml><?xml version="1.0" encoding="utf-8"?>
<sst xmlns="http://schemas.openxmlformats.org/spreadsheetml/2006/main" count="8003" uniqueCount="1385">
  <si>
    <t>Import</t>
  </si>
  <si>
    <t>2050 W</t>
  </si>
  <si>
    <t>2050 S</t>
  </si>
  <si>
    <t>-</t>
  </si>
  <si>
    <t>Installierte Leistung</t>
  </si>
  <si>
    <t>Wasser</t>
  </si>
  <si>
    <t>WKK</t>
  </si>
  <si>
    <t>PV</t>
  </si>
  <si>
    <t>Wind</t>
  </si>
  <si>
    <t>Pumpen</t>
  </si>
  <si>
    <t>Kühlschrank</t>
  </si>
  <si>
    <t>Waschmaschine</t>
  </si>
  <si>
    <t>Waschtrockner</t>
  </si>
  <si>
    <t>Video</t>
  </si>
  <si>
    <t>Computer</t>
  </si>
  <si>
    <t>Geschirrspüler</t>
  </si>
  <si>
    <t>Tiefkühltruhe</t>
  </si>
  <si>
    <t>Tiefkühlschrank</t>
  </si>
  <si>
    <t>Wäschetrockner</t>
  </si>
  <si>
    <t>Mobile Telefone</t>
  </si>
  <si>
    <t>Szenario 1</t>
  </si>
  <si>
    <t>Szenario 2</t>
  </si>
  <si>
    <t>Szenario 3</t>
  </si>
  <si>
    <t>Grosswasserkraft (min)</t>
  </si>
  <si>
    <t>Grosswasserkraft (max)</t>
  </si>
  <si>
    <t>Gestehungskosten (pp. 51)</t>
  </si>
  <si>
    <t>Grosswasserkraft, Bruttozubau (Szenario 1)</t>
  </si>
  <si>
    <t>Grosswasserkraft, Bruttozubau (Szenario 2)</t>
  </si>
  <si>
    <t>Grosswasserkraft, Bruttozubau (Szenario 3)</t>
  </si>
  <si>
    <t>Grosswasserkraft, Abzug Restwasserbestimmung</t>
  </si>
  <si>
    <t>Kleinwasserkraft, Bruttozubau (Szenario 1)</t>
  </si>
  <si>
    <t>Kleinwasserkraft, Bruttozubau (Szenario 2)</t>
  </si>
  <si>
    <t>Kleinwasserkraft, Bruttozubau (Szenario 3)</t>
  </si>
  <si>
    <t>Biogasheizkraftwerk (min)</t>
  </si>
  <si>
    <t>Biogasheizkraftwerk (max)</t>
  </si>
  <si>
    <t>Biomasse (Szenario 1)</t>
  </si>
  <si>
    <t>Biomasse (Szenario 2)</t>
  </si>
  <si>
    <t>Biomasse (Szenario 3)</t>
  </si>
  <si>
    <t>PV (min)</t>
  </si>
  <si>
    <t>PV (max)</t>
  </si>
  <si>
    <t>PV (Szenario 1)</t>
  </si>
  <si>
    <t>PV (Szenario 2)</t>
  </si>
  <si>
    <t>PV (45% bebaute Fläche; Szenario 3)</t>
  </si>
  <si>
    <t>PV technisch (55% bebaute Fläche; IEA)</t>
  </si>
  <si>
    <t>Wind (Szenario 1)</t>
  </si>
  <si>
    <t>Wind (Szenario 2)</t>
  </si>
  <si>
    <t>Wind (Szenario 3)</t>
  </si>
  <si>
    <t>Geothermie</t>
  </si>
  <si>
    <t>Geothermie (Szenario 1)</t>
  </si>
  <si>
    <t>Geothermie (Szenario 2)</t>
  </si>
  <si>
    <t>Geothermie (Szenario 3)</t>
  </si>
  <si>
    <t>WKK (min)</t>
  </si>
  <si>
    <t>WKK (max)</t>
  </si>
  <si>
    <t xml:space="preserve">WKK, Zubau (Szenario 1) </t>
  </si>
  <si>
    <t xml:space="preserve">WKK, Zubau (Szenario 2) </t>
  </si>
  <si>
    <t xml:space="preserve">WKK, Zubau (Szenario 3) </t>
  </si>
  <si>
    <t>GuD</t>
  </si>
  <si>
    <t>GuD (8*400MW*(Grundlaststunden, which is 6000 Volllaststunden))</t>
  </si>
  <si>
    <t>CCS (EUR/tCO2)</t>
  </si>
  <si>
    <t>20-30</t>
  </si>
  <si>
    <t>x2</t>
  </si>
  <si>
    <t>CCS Power Plant Capital Costs</t>
  </si>
  <si>
    <t>Kohle</t>
  </si>
  <si>
    <t>CCS Kohle</t>
  </si>
  <si>
    <t>8.8-9.3</t>
  </si>
  <si>
    <t>Kernenergie</t>
  </si>
  <si>
    <t>6-8</t>
  </si>
  <si>
    <t>Wind Neuanlagen 2-3MW (10% capex)</t>
  </si>
  <si>
    <t>Wind Neuanlagen 2-3MW (5% capex)</t>
  </si>
  <si>
    <t>PV Dach (10-100kW) (5% capex)</t>
  </si>
  <si>
    <t>PV Dach (10-100kW) (10% capex)</t>
  </si>
  <si>
    <t>Kleinwasserkraft&lt;=10MW (5% capex)</t>
  </si>
  <si>
    <t>Kleinwasserkraft&lt;=10MW (10% capex)</t>
  </si>
  <si>
    <t>Grossholzheizkraftwerk 2-5MW (5% capex)</t>
  </si>
  <si>
    <t>Grossholzheizkraftwerk 2-5MW (10% capex)</t>
  </si>
  <si>
    <t>Biogasheizkraftwerk 300kW (5% capex)</t>
  </si>
  <si>
    <t>Biogasheizkraftwerk 300kW (10% capex)</t>
  </si>
  <si>
    <t>WKK Neuanlagen 200kWh/a (5% capex)</t>
  </si>
  <si>
    <t>WKK Neuanlagen 200kWh/a (10% capex)</t>
  </si>
  <si>
    <t>Gross-Speicher (10% capex) (BFE, Energieperspektiven 2035, Juni 2007)</t>
  </si>
  <si>
    <t>Gross-Speicher (5% capex) (BFE, Energieperspektiven 2035, Juni 2007)</t>
  </si>
  <si>
    <t>Gross-Laufwasser (5% capex) (BFE, Energieperspektiven 2035, Juni 2007)</t>
  </si>
  <si>
    <t>Gross-Laufwasser (10% capex) (BFE, Energieperspektiven 2035, Juni 2007)</t>
  </si>
  <si>
    <t>Grosswasserkraft Bestand (min)</t>
  </si>
  <si>
    <t>Grosswasserkraft Bestand (middle)</t>
  </si>
  <si>
    <t>Grosswasserkraft Bestand (max)</t>
  </si>
  <si>
    <t>GuD (10% capex)</t>
  </si>
  <si>
    <t>GuD (5% capex)</t>
  </si>
  <si>
    <t>Geothermie (5% capex)</t>
  </si>
  <si>
    <t>Geothermie (10% capex)</t>
  </si>
  <si>
    <t>Geotherme Bestand</t>
  </si>
  <si>
    <t>Grossholzheizkraftwerk Brennstoffkosten</t>
  </si>
  <si>
    <t>Grossholzheizkraftwerk Wärmegutschrift</t>
  </si>
  <si>
    <t>WKK Wärmegutschrift</t>
  </si>
  <si>
    <t>WKK Brennstoffkosten</t>
  </si>
  <si>
    <t>Biogasheizkraftwerk Wärmegutschrift</t>
  </si>
  <si>
    <t>Geothermie Wärmegutschrift</t>
  </si>
  <si>
    <t>Technische Parameter</t>
  </si>
  <si>
    <t>Betriebsvolllaststunden (h/a)</t>
  </si>
  <si>
    <t>Laufwasserkraft</t>
  </si>
  <si>
    <t>Speicherkraftwerk</t>
  </si>
  <si>
    <t>Biomasse</t>
  </si>
  <si>
    <t>5000-7000</t>
  </si>
  <si>
    <t>W/S Anteil</t>
  </si>
  <si>
    <t>1600-2000</t>
  </si>
  <si>
    <t>66% W</t>
  </si>
  <si>
    <t>6500-8000</t>
  </si>
  <si>
    <t>3000-4500</t>
  </si>
  <si>
    <t>75% W</t>
  </si>
  <si>
    <t>4000-8000</t>
  </si>
  <si>
    <t>Kernkraft</t>
  </si>
  <si>
    <t>66% S</t>
  </si>
  <si>
    <t>mehr im W</t>
  </si>
  <si>
    <t>Variation/a</t>
  </si>
  <si>
    <t>60% S (total Wasser)</t>
  </si>
  <si>
    <t>10% (total Wasser)</t>
  </si>
  <si>
    <t>Effizienz (%)</t>
  </si>
  <si>
    <t>12-35</t>
  </si>
  <si>
    <t>10-25</t>
  </si>
  <si>
    <t>37-60 (elektrisch)</t>
  </si>
  <si>
    <t>52-60 (8-10 reduction with CCS)</t>
  </si>
  <si>
    <t>Wasserkraft, Nettozubau (max)</t>
  </si>
  <si>
    <t>Biomasse, Zubau (Szenario 1)</t>
  </si>
  <si>
    <t>Biomasse, Zubau (Szenario 2)</t>
  </si>
  <si>
    <t>Biomasse, Zubau (Szenario 3)</t>
  </si>
  <si>
    <t>(Rp./kWh)</t>
  </si>
  <si>
    <t>(gCO2-eq/kWh)</t>
  </si>
  <si>
    <t>Life-Cylce Emissions (pp. 51)</t>
  </si>
  <si>
    <t>(TWh/a)</t>
  </si>
  <si>
    <t>(GW)</t>
  </si>
  <si>
    <t>Swiss Statistics</t>
  </si>
  <si>
    <t>(kWh/Gerät/a)</t>
  </si>
  <si>
    <t>Wasserkraft</t>
  </si>
  <si>
    <t>Kleinwasserkraft</t>
  </si>
  <si>
    <t>Speicherwasserkraft (Szenario 1)</t>
  </si>
  <si>
    <t>Laufwasserkraft (Szenario 1)</t>
  </si>
  <si>
    <t>Kleinwasserkraft (Szenario 1)</t>
  </si>
  <si>
    <t>Speicherwasserkraft (Szenario 2)</t>
  </si>
  <si>
    <t>Laufwasserkraft (Szenario 2)</t>
  </si>
  <si>
    <t>Kleinwasserkraft (Szenario 2)</t>
  </si>
  <si>
    <t>Speicherwasserkraft (Szenario 3)</t>
  </si>
  <si>
    <t>Laufwasserkraft (Szenario 3)</t>
  </si>
  <si>
    <t>Kleinwasserkraft (Szenario 3)</t>
  </si>
  <si>
    <t>PV (Szenario 3)</t>
  </si>
  <si>
    <t>Wasserkraft Brutto (Szenario 3)</t>
  </si>
  <si>
    <t>Wasserkraft Brutto (Szenario 2)</t>
  </si>
  <si>
    <t>Wasserkraft Brutto (Szenario 1)</t>
  </si>
  <si>
    <t>Zubaupotentiale (realisierbar, if not stated otherwise; Table 6.4 and text in Ch. 6)</t>
  </si>
  <si>
    <t>= potential Szen 1</t>
  </si>
  <si>
    <t>= potential Szen 2</t>
  </si>
  <si>
    <t>= potential Szen 3</t>
  </si>
  <si>
    <t>= potential Szen 3 (brutto)</t>
  </si>
  <si>
    <t>Zubau Erneuerbare Produktion (Table 6.3, p. 64; Wasserkraft in 2010 ist netto: -2TWh)</t>
  </si>
  <si>
    <t>= potential Szen 1 (brutto)</t>
  </si>
  <si>
    <t>= potential Szen 2 (brutto)</t>
  </si>
  <si>
    <t>Biomasse + Geothermie (Szenario 1)</t>
  </si>
  <si>
    <t>Importe (Szenario 1)</t>
  </si>
  <si>
    <t>2010 (Bestand)</t>
  </si>
  <si>
    <t>Thermisch (GuD, WKK, etc.) (Szenario 1)</t>
  </si>
  <si>
    <t>Biomasse + Geothermie (Szenario 2)</t>
  </si>
  <si>
    <t>Thermisch (GuD, WKK, etc.) (Szenario 2)</t>
  </si>
  <si>
    <t>Importe (Szenario 2)</t>
  </si>
  <si>
    <t>Biomasse + Geothermie (Szenario 3)</t>
  </si>
  <si>
    <t>Thermisch (GuD, WKK, etc.) (Szenario 3)</t>
  </si>
  <si>
    <t>Importe (Szenario 3)</t>
  </si>
  <si>
    <t>Laufwerke</t>
  </si>
  <si>
    <t>Thermisch und Andere</t>
  </si>
  <si>
    <t>Erneuerbar (ohne Wasser; Tabelle A-3 BfE)</t>
  </si>
  <si>
    <t>1.1 (VSE)</t>
  </si>
  <si>
    <t>1 (VSE)</t>
  </si>
  <si>
    <r>
      <t xml:space="preserve">GuD </t>
    </r>
    <r>
      <rPr>
        <b/>
        <sz val="11"/>
        <color theme="1"/>
        <rFont val="Arial"/>
        <family val="2"/>
      </rPr>
      <t>(GW)</t>
    </r>
  </si>
  <si>
    <r>
      <t xml:space="preserve">Erneuerbare </t>
    </r>
    <r>
      <rPr>
        <b/>
        <sz val="11"/>
        <color theme="1"/>
        <rFont val="Arial"/>
        <family val="2"/>
      </rPr>
      <t>(GW; Tab. 8.1)</t>
    </r>
  </si>
  <si>
    <t>Produktion (Abbildung 7.1; Erneuerbare Produktion ist gemäss Zubau-Potential pro Szenario)</t>
  </si>
  <si>
    <t>Pumpspeicher (Szenario 1)</t>
  </si>
  <si>
    <t>GuD (Szenario 1)</t>
  </si>
  <si>
    <t>Andere Erneuerbare (Szenario 1)</t>
  </si>
  <si>
    <t>(p.70)</t>
  </si>
  <si>
    <t>Pumpspeicher (Szenario 2)</t>
  </si>
  <si>
    <t>GuD (Szenario 2)</t>
  </si>
  <si>
    <t>Andere Erneuerbare (Szenario 2)</t>
  </si>
  <si>
    <t>Pumpspeicher (Szenario 3)</t>
  </si>
  <si>
    <t>GuD (Szenario 3)</t>
  </si>
  <si>
    <t>Andere Erneuerbare (Szenario 3)</t>
  </si>
  <si>
    <t>(p.70, 80)</t>
  </si>
  <si>
    <t>Leistung (Abb. 8.1)</t>
  </si>
  <si>
    <t>Export</t>
  </si>
  <si>
    <t>(EUR/MWh)</t>
  </si>
  <si>
    <t>(Mrd. CHF, cumulative)</t>
  </si>
  <si>
    <t>Bestand Wasserkraft (Heimfallverzichtsentschädigung, etc.)</t>
  </si>
  <si>
    <t>Bestand Kernkraftwerke (ohne Zusatzmassnahmen)</t>
  </si>
  <si>
    <t>Kraftwerke Zubau (Szenario 1)</t>
  </si>
  <si>
    <t>Kraftwerke Zubau (Szenario 2)</t>
  </si>
  <si>
    <t>Kraftwerke Zubau (Szenario 3)</t>
  </si>
  <si>
    <t>Netzverstärkung (D) new Tech (Szenario 1)</t>
  </si>
  <si>
    <t>Netzverstärkung (D) classic Tech (Szenario 2)</t>
  </si>
  <si>
    <t>Netzverstärkung (D) new Tech (Szenario 2)</t>
  </si>
  <si>
    <t>Netzverstärkung (D) classic Tech (Szenario 3)</t>
  </si>
  <si>
    <t>Netzverstärkung (D) new Tech (Szenario 3)</t>
  </si>
  <si>
    <t>Netzverstärkung (Distr) classic Tech (Szenario 1)</t>
  </si>
  <si>
    <t>Kraftwerke Zubau fossil-thermisch (Szenario 1)</t>
  </si>
  <si>
    <t>Kraftwerke Zubau Erneuerbar (Szenario 1)</t>
  </si>
  <si>
    <t>Kraftwerke Zubau fossil-thermisch (Szenario 2)</t>
  </si>
  <si>
    <t>Kraftwerke Zubau Erneuerbar (Szenario 2)</t>
  </si>
  <si>
    <t>Kraftwerke Zubau fossil-thermisch (Szenario 3)</t>
  </si>
  <si>
    <t>Kraftwerke Zubau Erneuerbar (Szenario 3)</t>
  </si>
  <si>
    <t>!= 5.5 in Tab. 8.2</t>
  </si>
  <si>
    <t>!= 9.6 in Tab. 8.2</t>
  </si>
  <si>
    <t>Netzverstärkung (D) new Tech (Szenario 1), Zubau</t>
  </si>
  <si>
    <t>Netzverstärkung (D) new Tech (Szenario 2), Zubau</t>
  </si>
  <si>
    <t>Netzverstärkung (D) new Tech (Szenario 3), Zubau</t>
  </si>
  <si>
    <t>Investitionen Netz (Tab. 8.1; p. 95; Tab. 8.2)</t>
  </si>
  <si>
    <t>Investitionen Produktion (p. 94; Tab. 8.2)</t>
  </si>
  <si>
    <t>Investitionen Netz+Produktion (p. 94; Tab. 8.2)</t>
  </si>
  <si>
    <t>Zubau (Szenario 1)</t>
  </si>
  <si>
    <t>Zubau+Bestand (Szenario 1)</t>
  </si>
  <si>
    <t>Zubau (Szenario 2)</t>
  </si>
  <si>
    <t>Zubau+Bestand (Szenario 2)</t>
  </si>
  <si>
    <t>Zubau (Szenario 3)</t>
  </si>
  <si>
    <t>Zubau+Bestand (Szenario 3)</t>
  </si>
  <si>
    <t>Zubau Übertragungsnetz  (p.94; Swissgrid's "strategische Netze")</t>
  </si>
  <si>
    <t>!=22.1 in Tab. 8.2</t>
  </si>
  <si>
    <t>!=149.1 in Tab. 8.2</t>
  </si>
  <si>
    <t>!=118.1 in Tab. 8.2</t>
  </si>
  <si>
    <t>!=68.9, 134.4 in Tab. 8.2</t>
  </si>
  <si>
    <t>Wholesale, yearly average price (Szenario 1)</t>
  </si>
  <si>
    <t>Wholesale, yearly average price (Szenario 2)</t>
  </si>
  <si>
    <t>Wholesale, yearly average price (Szenario 3)</t>
  </si>
  <si>
    <r>
      <t xml:space="preserve">Bestandskosten Netz </t>
    </r>
    <r>
      <rPr>
        <b/>
        <i/>
        <sz val="11"/>
        <color theme="1"/>
        <rFont val="Arial"/>
        <family val="2"/>
      </rPr>
      <t>(p.a. over 40 years, 60 Mrd. worth; 4Mrd. until 2030 p.94, footnote 46)</t>
    </r>
  </si>
  <si>
    <t>(CHF/MWh)</t>
  </si>
  <si>
    <t>GDP/Population?</t>
  </si>
  <si>
    <t>(mio tCO2/a)</t>
  </si>
  <si>
    <t>1.8  (LCA)</t>
  </si>
  <si>
    <t>Direkt CO2 (Tab. 9.1; p.103; p.104)</t>
  </si>
  <si>
    <t>Retail, yearly average price (Szenario 1)</t>
  </si>
  <si>
    <t>VSE (Stromzukunft)</t>
  </si>
  <si>
    <t>Cleantech (Energiestrategie)</t>
  </si>
  <si>
    <t>Buildings</t>
  </si>
  <si>
    <t>Transport</t>
  </si>
  <si>
    <t>Appliances</t>
  </si>
  <si>
    <t>cleantech</t>
  </si>
  <si>
    <t>Floor area (+%)</t>
  </si>
  <si>
    <t>Heat pumps</t>
  </si>
  <si>
    <t>Efficiency Assumptions (Electric)</t>
  </si>
  <si>
    <t>Heat pumps share</t>
  </si>
  <si>
    <t>Building heating</t>
  </si>
  <si>
    <t>Cargo (+%)</t>
  </si>
  <si>
    <t>Appliances (+%)</t>
  </si>
  <si>
    <t>cleantech (vehicle share)</t>
  </si>
  <si>
    <t>Personal Mobility (+%)</t>
  </si>
  <si>
    <t>cleantech (p-km/y)</t>
  </si>
  <si>
    <t>cleantech (t-km/y)</t>
  </si>
  <si>
    <t>cleantech (shift of today's pers. mob. -&gt; public)</t>
  </si>
  <si>
    <t>cleantech (shift of today's road-&gt; rail)</t>
  </si>
  <si>
    <t>Useful-Energy Demand Assumptions (Electricity Specific)</t>
  </si>
  <si>
    <t>Electric road transport</t>
  </si>
  <si>
    <t>nearly</t>
  </si>
  <si>
    <t>Electricity costs (p.15)</t>
  </si>
  <si>
    <t>Total costs (increase)</t>
  </si>
  <si>
    <t>Production costs (p.20)</t>
  </si>
  <si>
    <t>(Rp/kWh)</t>
  </si>
  <si>
    <t>PV (inkl. short-term, decentral storage)</t>
  </si>
  <si>
    <t>Wasser (+%)</t>
  </si>
  <si>
    <t>Potentials (p.20)</t>
  </si>
  <si>
    <t>Wind (TWh/a)</t>
  </si>
  <si>
    <t>150km2, 30% Gebäudefläche</t>
  </si>
  <si>
    <t>Biomasse trocken (Anteil für Elektrizität)</t>
  </si>
  <si>
    <t>Biomasse feucht (Anteil für Elektrizität)</t>
  </si>
  <si>
    <t>klein</t>
  </si>
  <si>
    <t>(Mio.)</t>
  </si>
  <si>
    <t>Population (Tab. 3)</t>
  </si>
  <si>
    <t>GDP (p.18)</t>
  </si>
  <si>
    <t>(cumulative growth)</t>
  </si>
  <si>
    <t>according BfS 2010</t>
  </si>
  <si>
    <t>1.2% avg. growth/a (Seco 2011)</t>
  </si>
  <si>
    <t>Production (Tab.3, p.24)</t>
  </si>
  <si>
    <t>Grosswasserkraft</t>
  </si>
  <si>
    <t>KVA</t>
  </si>
  <si>
    <t>Demand - (Production+Import)</t>
  </si>
  <si>
    <r>
      <t xml:space="preserve">Erdgas WKK </t>
    </r>
    <r>
      <rPr>
        <b/>
        <sz val="11"/>
        <color theme="1"/>
        <rFont val="Arial"/>
        <family val="2"/>
      </rPr>
      <t>(all output is Elc??)</t>
    </r>
  </si>
  <si>
    <r>
      <t xml:space="preserve">Biogas WKK </t>
    </r>
    <r>
      <rPr>
        <b/>
        <sz val="11"/>
        <color theme="1"/>
        <rFont val="Arial"/>
        <family val="2"/>
      </rPr>
      <t>(all output is Elc ?)</t>
    </r>
  </si>
  <si>
    <r>
      <t>KVA (50% Bio)</t>
    </r>
    <r>
      <rPr>
        <b/>
        <sz val="11"/>
        <color theme="1"/>
        <rFont val="Arial"/>
        <family val="2"/>
      </rPr>
      <t xml:space="preserve"> (all output is Elc?)</t>
    </r>
  </si>
  <si>
    <r>
      <t xml:space="preserve">Geothermie </t>
    </r>
    <r>
      <rPr>
        <b/>
        <sz val="11"/>
        <color theme="1"/>
        <rFont val="Arial"/>
        <family val="2"/>
      </rPr>
      <t>(all output is Elc?)</t>
    </r>
  </si>
  <si>
    <t>Production 2035</t>
  </si>
  <si>
    <t>(TWh/Monat)</t>
  </si>
  <si>
    <t>Speicherwasserkraft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</si>
  <si>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</si>
  <si>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</si>
  <si>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</si>
  <si>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</si>
  <si>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</si>
  <si>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</si>
  <si>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</si>
  <si>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</si>
  <si>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</si>
  <si>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</si>
  <si>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</si>
  <si>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</si>
  <si>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</si>
  <si>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Sum Wasser</t>
  </si>
  <si>
    <t>Vgl. Production</t>
  </si>
  <si>
    <t>(mm on A4 paper)</t>
  </si>
  <si>
    <t>Zubau (wegen Energiewende, 2 Mrd. pro Jahr)</t>
  </si>
  <si>
    <t>Zubau Netz (0.01CHF/kWh over 15 years)</t>
  </si>
  <si>
    <t>Investitionen Netz+Produktion (p. 31; p. 32)</t>
  </si>
  <si>
    <t>(p.35)</t>
  </si>
  <si>
    <t>Demand (Tab. 3, p. 24)</t>
  </si>
  <si>
    <t>Greenpeace (energy [r]evolution)</t>
  </si>
  <si>
    <t>Biomass for Electricity</t>
  </si>
  <si>
    <t>Potentials (p.21, 22)</t>
  </si>
  <si>
    <t>Population (Abb. 0.1, p. 8; Tabelle 7.2, p. 67)</t>
  </si>
  <si>
    <t>(%)</t>
  </si>
  <si>
    <t>BIP (Tabelle 7.3, p.67)</t>
  </si>
  <si>
    <t>(cumulative, 2010-2050)</t>
  </si>
  <si>
    <t>(yearly, averaged, 2009-2050)</t>
  </si>
  <si>
    <t>[Prognos]</t>
  </si>
  <si>
    <t>[Prognos], p.22)</t>
  </si>
  <si>
    <t>Wind O&amp;M (EUR/kW/a)</t>
  </si>
  <si>
    <t>Biomasse O&amp;M (EUR/kW/a)</t>
  </si>
  <si>
    <t>PV O&amp;M (EUR/kW/a)</t>
  </si>
  <si>
    <t>Biomasse Invest (EUR/kW)</t>
  </si>
  <si>
    <t>WKK (Biomasse) Invest (EUR/kWp)</t>
  </si>
  <si>
    <r>
      <t>WKK (Biomasse) O&amp;M (EUR/kW</t>
    </r>
    <r>
      <rPr>
        <b/>
        <sz val="11"/>
        <color theme="1"/>
        <rFont val="Arial"/>
        <family val="2"/>
      </rPr>
      <t>??</t>
    </r>
    <r>
      <rPr>
        <sz val="11"/>
        <color theme="1"/>
        <rFont val="Arial"/>
        <family val="2"/>
      </rPr>
      <t>/a)</t>
    </r>
  </si>
  <si>
    <t>(CHF/kWh, 2009?)</t>
  </si>
  <si>
    <t>PV Invest+Netz(&lt;=25% share) (EUR/kW)</t>
  </si>
  <si>
    <t>Wind Invest+Netz(&lt;=25% share) (EUR/kW)</t>
  </si>
  <si>
    <t>Geothermie Invest (EUR/kWp)</t>
  </si>
  <si>
    <r>
      <t>Geothermie O&amp;M (EUR/kW</t>
    </r>
    <r>
      <rPr>
        <b/>
        <sz val="11"/>
        <color theme="1"/>
        <rFont val="Arial"/>
        <family val="2"/>
      </rPr>
      <t>??</t>
    </r>
    <r>
      <rPr>
        <sz val="11"/>
        <color theme="1"/>
        <rFont val="Arial"/>
        <family val="2"/>
      </rPr>
      <t>/a)</t>
    </r>
  </si>
  <si>
    <t>Demand (p. 77, p. 79)</t>
  </si>
  <si>
    <t>(yearly, starting year) [Prognos]</t>
  </si>
  <si>
    <t>PV (revolution scenario = 19TWh) [IEA]</t>
  </si>
  <si>
    <t>Steinkohle</t>
  </si>
  <si>
    <t>Braunkohle</t>
  </si>
  <si>
    <t>Erdgas</t>
  </si>
  <si>
    <t>Öl</t>
  </si>
  <si>
    <t>Diesel</t>
  </si>
  <si>
    <t>Atomenergie</t>
  </si>
  <si>
    <t>Wasserstoff</t>
  </si>
  <si>
    <t>Produktion insgesamt</t>
  </si>
  <si>
    <t>Fossile</t>
  </si>
  <si>
    <t>Erneuerbare Energien (EE)</t>
  </si>
  <si>
    <t>Biomasse &amp; erneuerbarer Abfall</t>
  </si>
  <si>
    <t>Fluktuierende EE (PV, Wind)</t>
  </si>
  <si>
    <t>Anteil fluktuierende EE</t>
  </si>
  <si>
    <t>Anteil EE (inländische Produktion)</t>
  </si>
  <si>
    <t>Einsparungen im Vergleich zur Referenz</t>
  </si>
  <si>
    <t xml:space="preserve">   Steinkohle</t>
  </si>
  <si>
    <t xml:space="preserve">   Braunkohle</t>
  </si>
  <si>
    <t xml:space="preserve">   Erdgas</t>
  </si>
  <si>
    <t xml:space="preserve">   Öl</t>
  </si>
  <si>
    <t xml:space="preserve">   Diesel</t>
  </si>
  <si>
    <t xml:space="preserve">  Wasser</t>
  </si>
  <si>
    <t xml:space="preserve">  Wind</t>
  </si>
  <si>
    <t xml:space="preserve">  PV</t>
  </si>
  <si>
    <t xml:space="preserve">  davon H2</t>
  </si>
  <si>
    <t xml:space="preserve">  Biomasse &amp; erneuerbarer Abfall</t>
  </si>
  <si>
    <t xml:space="preserve">  Geothermie</t>
  </si>
  <si>
    <t>Steinkohle &amp; nicht-erneuerbarer Abfall</t>
  </si>
  <si>
    <t>Fluktuierende EE (PV. Wind)</t>
  </si>
  <si>
    <t xml:space="preserve">  Steinkohle</t>
  </si>
  <si>
    <t xml:space="preserve">  Braunkohle</t>
  </si>
  <si>
    <t xml:space="preserve">  Öl</t>
  </si>
  <si>
    <t xml:space="preserve">  Diesel</t>
  </si>
  <si>
    <t>Erdgas (ohne H2)</t>
  </si>
  <si>
    <t>Erdgas (inkl. H2)</t>
  </si>
  <si>
    <t xml:space="preserve">  Erdgas (ohne H2)</t>
  </si>
  <si>
    <t>Verkehr Strasse</t>
  </si>
  <si>
    <t>Verkehr Bahn</t>
  </si>
  <si>
    <t>Industrie</t>
  </si>
  <si>
    <t>Haushalt und Dienstleistungen</t>
  </si>
  <si>
    <t>(PJ/a)</t>
  </si>
  <si>
    <t>constant over time</t>
  </si>
  <si>
    <t>2041-2050</t>
  </si>
  <si>
    <t>2011-2050</t>
  </si>
  <si>
    <t>2031-2040</t>
  </si>
  <si>
    <t>2021-2030</t>
  </si>
  <si>
    <t>2011-2020</t>
  </si>
  <si>
    <t>Erneuerbare Energien</t>
  </si>
  <si>
    <t>yearly avg. (2011-2050)</t>
  </si>
  <si>
    <t xml:space="preserve">  Biomasse</t>
  </si>
  <si>
    <r>
      <t>(Mrd. CHF)</t>
    </r>
    <r>
      <rPr>
        <b/>
        <i/>
        <sz val="11"/>
        <color theme="1"/>
        <rFont val="Arial"/>
        <family val="2"/>
      </rPr>
      <t xml:space="preserve"> (Millionen?)</t>
    </r>
  </si>
  <si>
    <t>(p. 25)</t>
  </si>
  <si>
    <t>(p.25)</t>
  </si>
  <si>
    <t>cleantech (avg. efficiency)</t>
  </si>
  <si>
    <t>Greenpeace (avg. efficiency)</t>
  </si>
  <si>
    <t>Greenpeace (cars, + H2 from electrolysis)</t>
  </si>
  <si>
    <t>Greenpeace Variante Suffizienz</t>
  </si>
  <si>
    <t>p.26</t>
  </si>
  <si>
    <t>Speicherwerke (brutto)</t>
  </si>
  <si>
    <t>Speicherwerke (netto)</t>
  </si>
  <si>
    <t>Verluste</t>
  </si>
  <si>
    <t>Produktion/Demand</t>
  </si>
  <si>
    <t>Demand</t>
  </si>
  <si>
    <t>Verbrauch Scenario Variante Suffizienz (TWh/a)</t>
  </si>
  <si>
    <r>
      <t xml:space="preserve">Verbrauch </t>
    </r>
    <r>
      <rPr>
        <b/>
        <sz val="11"/>
        <color theme="1"/>
        <rFont val="Arial"/>
        <family val="2"/>
      </rPr>
      <t>(ohne H2-Produktion)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(TWh/a)</t>
    </r>
  </si>
  <si>
    <t>Elektrizität für H2-Produktion</t>
  </si>
  <si>
    <t>Import/Export</t>
  </si>
  <si>
    <t>(p. 27)</t>
  </si>
  <si>
    <t>(reltativ klein, da nachhaltig, p. 28)</t>
  </si>
  <si>
    <t>p.28</t>
  </si>
  <si>
    <t>PV Volllaststunden/a</t>
  </si>
  <si>
    <t>Wind Volllaststunden/a</t>
  </si>
  <si>
    <t>Biomasse Volllaststunden</t>
  </si>
  <si>
    <t>WKK (Biomasse) Volllaststunden</t>
  </si>
  <si>
    <t>PV Life / Capital rate</t>
  </si>
  <si>
    <t>Wind Life / Capital rate</t>
  </si>
  <si>
    <t>Biomasse Life / Capital rate</t>
  </si>
  <si>
    <t>WKK (Biomasse) Life / Capital rate</t>
  </si>
  <si>
    <t>Geothermie Life/ Captial rate</t>
  </si>
  <si>
    <t>Geothermie Volllaststunden</t>
  </si>
  <si>
    <t>(EUR/CHF)</t>
  </si>
  <si>
    <t xml:space="preserve">  davon Laufwasser</t>
  </si>
  <si>
    <r>
      <t xml:space="preserve"> Kapazität Speicher </t>
    </r>
    <r>
      <rPr>
        <b/>
        <sz val="11"/>
        <color theme="1"/>
        <rFont val="Arial"/>
        <family val="2"/>
      </rPr>
      <t>(TWh/a)</t>
    </r>
  </si>
  <si>
    <t>8.7 TWh/a</t>
  </si>
  <si>
    <r>
      <t xml:space="preserve"> Kapazität Pumpseicher (unten) </t>
    </r>
    <r>
      <rPr>
        <b/>
        <sz val="11"/>
        <color theme="1"/>
        <rFont val="Arial"/>
        <family val="2"/>
      </rPr>
      <t>(TWh/a)</t>
    </r>
  </si>
  <si>
    <t>0.2 TWh/a</t>
  </si>
  <si>
    <t xml:space="preserve">  Turbinen Pumspeicher</t>
  </si>
  <si>
    <t xml:space="preserve">  Turbinen Speicher</t>
  </si>
  <si>
    <t xml:space="preserve">  Pumpen Pumpspeicher</t>
  </si>
  <si>
    <t>p. 29</t>
  </si>
  <si>
    <t>Produktion (p. 77, 29)</t>
  </si>
  <si>
    <t>Capacity (p. 77, 29)</t>
  </si>
  <si>
    <t>2050 Jan</t>
  </si>
  <si>
    <t>2050 Dez</t>
  </si>
  <si>
    <t>(4000 Volllaststunden), p.31</t>
  </si>
  <si>
    <t>Elektrolyse (Strom-&gt;H2)</t>
  </si>
  <si>
    <t>PV (CHF/kWh)</t>
  </si>
  <si>
    <t>Wind (CHF/kWh)</t>
  </si>
  <si>
    <t>Geothermie (CHF/kWh)</t>
  </si>
  <si>
    <t>Biomasse (CHF/kWh)</t>
  </si>
  <si>
    <t>WKK (Biomasse) (CHF/kWhp)</t>
  </si>
  <si>
    <t>2009 (2012 for PV)</t>
  </si>
  <si>
    <t>Kernkraft, Fossil</t>
  </si>
  <si>
    <t>Kraftwerke (ohne WKK)</t>
  </si>
  <si>
    <t>Produktion (Bestand+Neu)</t>
  </si>
  <si>
    <t>Investitionen (p. 78, 59)</t>
  </si>
  <si>
    <t>(2010-2050, p.78)</t>
  </si>
  <si>
    <t>Bio-WKK are 17% of EE (p. 78)</t>
  </si>
  <si>
    <t>Gestehungskosten (Tab. 7.6-7.9, p. 69, 57, Abb. 5.2 (p. 60))</t>
  </si>
  <si>
    <t>p. 60</t>
  </si>
  <si>
    <t>Total (+Efficiency Measures, without Grid)</t>
  </si>
  <si>
    <t>(PJ)</t>
  </si>
  <si>
    <t>Winter, HOCH</t>
  </si>
  <si>
    <t>Sommer, HOCH</t>
  </si>
  <si>
    <t>Total, HOCH</t>
  </si>
  <si>
    <t>Winter, MITTEL</t>
  </si>
  <si>
    <t>Sommer, MITTEL</t>
  </si>
  <si>
    <t>Total, MITTEL</t>
  </si>
  <si>
    <t>Winter, NIEDRIG</t>
  </si>
  <si>
    <t>Sommer, NIEDRIG</t>
  </si>
  <si>
    <t>Total, NIEDRIG</t>
  </si>
  <si>
    <t>(TWh/Zeit)</t>
  </si>
  <si>
    <t>Kernkraft, Winter</t>
  </si>
  <si>
    <t>Kernkraft, Sommer</t>
  </si>
  <si>
    <t>PV, MITTEL</t>
  </si>
  <si>
    <t>Wind, MITTEL</t>
  </si>
  <si>
    <t>Geothermie, MITTEL</t>
  </si>
  <si>
    <t>LCA-CO2 (pp. 22)</t>
  </si>
  <si>
    <t>Wasserkraft, Technisch</t>
  </si>
  <si>
    <t>(p. 21)</t>
  </si>
  <si>
    <t>(p. 22)</t>
  </si>
  <si>
    <t>(gCO2/kWh)</t>
  </si>
  <si>
    <t>const.</t>
  </si>
  <si>
    <t>10-20</t>
  </si>
  <si>
    <t>40-100</t>
  </si>
  <si>
    <t>(p. 24)</t>
  </si>
  <si>
    <t>GuD+CCS</t>
  </si>
  <si>
    <t>Bestand Konv. Therm., Winter</t>
  </si>
  <si>
    <t>Bestand Konv. Therm., Sommer</t>
  </si>
  <si>
    <t>Bestand Konv. Therm.</t>
  </si>
  <si>
    <t>Wasserkraft, MITTEL</t>
  </si>
  <si>
    <t>Biomasse-WKK, MITTEL</t>
  </si>
  <si>
    <t>Wasserkraft, Max</t>
  </si>
  <si>
    <t>PV, Max</t>
  </si>
  <si>
    <t>Wind, Max</t>
  </si>
  <si>
    <t>Geothermie, Max</t>
  </si>
  <si>
    <t>Biomasse-WKK, Max</t>
  </si>
  <si>
    <t>Wasserkraft, Min</t>
  </si>
  <si>
    <t>PV, Min</t>
  </si>
  <si>
    <t>Wind, Min</t>
  </si>
  <si>
    <t>Geothermie, Min</t>
  </si>
  <si>
    <t>Biomasse-WKK, Min</t>
  </si>
  <si>
    <t>Bestand Wasserkraft</t>
  </si>
  <si>
    <t>Bestand Wasserkraft, Winter</t>
  </si>
  <si>
    <t>Bestand Wasserkraft, Sommer</t>
  </si>
  <si>
    <t>Wasserkraft, MITTEL, Winter</t>
  </si>
  <si>
    <t>Wasserkraft, MITTEL, Sommer</t>
  </si>
  <si>
    <t>Wind, MITTEL, Winter</t>
  </si>
  <si>
    <t>Wind, MITTEL, Sommer</t>
  </si>
  <si>
    <t>Zubaupotential, plausibel für Produktion (pp. 22; p. 25, Tab. 8; p.32, Abb. 13)</t>
  </si>
  <si>
    <t>PV, MITTEL, Winter</t>
  </si>
  <si>
    <t>PV, MITTEL, Sommer</t>
  </si>
  <si>
    <t>(p. 32)</t>
  </si>
  <si>
    <t>Biomasse-WKK, MITTEL, Winter</t>
  </si>
  <si>
    <t>Biomasse-WKK, MITTEL, Sommer</t>
  </si>
  <si>
    <t>GuD/Import, MITTEL, Sommer</t>
  </si>
  <si>
    <t>GuD/Import, MITTEL, Winter</t>
  </si>
  <si>
    <t>Zusatzbedarf Sommer</t>
  </si>
  <si>
    <t>Zusatzbedarf Winter</t>
  </si>
  <si>
    <t>GuD/Import = Demand MITTEL - Zubau (90% cum prob.)</t>
  </si>
  <si>
    <t>GuD/Import = Demand MITTEL - Zubau (75% cum prob.)</t>
  </si>
  <si>
    <t>GuD/Import = Demand MITTEL - Zubau (50% cum prob.)</t>
  </si>
  <si>
    <t>GuD/Import = Demand MITTEL - Zubau (25% cum prob.)</t>
  </si>
  <si>
    <t>GuD/Import =  Demand MITTEL - Zubau (10% cum prob.)</t>
  </si>
  <si>
    <t>Produktion (p. 9, Tab. 5; p. 25, Tab. 8; p.32, Abb. 13)</t>
  </si>
  <si>
    <t>Produktion Sommer (p. 9, Tab. 5; p. 25, Tab. 8; p. 32, Abb. 13)</t>
  </si>
  <si>
    <t>Produktion Winter (p. 9, Tab. 5; p. 25, Tab. 8; p. 32, Abb. 13)</t>
  </si>
  <si>
    <t>Total Zubau, MITTEL</t>
  </si>
  <si>
    <t>Population</t>
  </si>
  <si>
    <t>Geothermie,MITTEL, Winter</t>
  </si>
  <si>
    <t>Geothermie, MITTEL, Sommer</t>
  </si>
  <si>
    <t>Kernenergie, max</t>
  </si>
  <si>
    <t>Kernenergie, min</t>
  </si>
  <si>
    <t>Biomasse-WKK, max</t>
  </si>
  <si>
    <t>Biomasse-WKK, min</t>
  </si>
  <si>
    <t>Geothermie, max</t>
  </si>
  <si>
    <t>Geothermie, min</t>
  </si>
  <si>
    <t>Wind, max</t>
  </si>
  <si>
    <t>Wind, min</t>
  </si>
  <si>
    <t>PV, max</t>
  </si>
  <si>
    <t>PV, min</t>
  </si>
  <si>
    <t>Batterie, max</t>
  </si>
  <si>
    <t>Batterie, min</t>
  </si>
  <si>
    <t>(p. 36)</t>
  </si>
  <si>
    <t>Thermisch-Konventionell</t>
  </si>
  <si>
    <t>Kernenergie, mid</t>
  </si>
  <si>
    <t>Gestehungskosten, inkl. externe Kosten (p. 34; p. 36, Tab. 10)</t>
  </si>
  <si>
    <t>Total (Variante "C": 50% of PV/Wind is stored; 2010-2040: PSK, after that Batterie in addition)</t>
  </si>
  <si>
    <t>(indexiert)</t>
  </si>
  <si>
    <t xml:space="preserve">Ziel -65% CO2 in 2050+Ausstieg Kern </t>
  </si>
  <si>
    <t>Ziel -65% CO2 in 2050</t>
  </si>
  <si>
    <t>GDP (CITE model, p. 39)</t>
  </si>
  <si>
    <t>Szenario A-00-2010</t>
  </si>
  <si>
    <t>Szenario B-00-2010</t>
  </si>
  <si>
    <t>Szenario C-00-2010</t>
  </si>
  <si>
    <t>(end of year)</t>
  </si>
  <si>
    <t>Ständige Wohnbevölkerung historisch (BFS)</t>
  </si>
  <si>
    <t>Ständige Wohnbevölkerung (BFS, Szenarien zur Bevölkerungsentwicklung der Schweiz, 2010-2060)</t>
  </si>
  <si>
    <t>Verbrauch (BfE)</t>
  </si>
  <si>
    <t>Endverbrauch</t>
  </si>
  <si>
    <t>GDP</t>
  </si>
  <si>
    <t>(2005 Mio. CHF)</t>
  </si>
  <si>
    <t>GDP, real (SECO)</t>
  </si>
  <si>
    <t>Population, Verbrauch, GDP (Indexed 1995)</t>
  </si>
  <si>
    <t xml:space="preserve"> = rate 2000 -&gt; 2012</t>
  </si>
  <si>
    <t>Demand (vor Verlust, nach Pumpen; p.19, Tab. 5)</t>
  </si>
  <si>
    <t>Privathaushalte, WWB</t>
  </si>
  <si>
    <t>Dienstleistungen, WWB</t>
  </si>
  <si>
    <t>Industrie, WWB</t>
  </si>
  <si>
    <t>Verkehr, WWB</t>
  </si>
  <si>
    <t>Elektrizität, WWB</t>
  </si>
  <si>
    <t>Wasserstoff, Verkehr, WWB</t>
  </si>
  <si>
    <t>Privathaushalte, NEP</t>
  </si>
  <si>
    <t>Dienstleistungen, NEP</t>
  </si>
  <si>
    <t>Industrie, NEP</t>
  </si>
  <si>
    <t>Verkehr, NEP</t>
  </si>
  <si>
    <t>Elektrizität, NEP</t>
  </si>
  <si>
    <t>Wasserstoff, Verkehr, NEP</t>
  </si>
  <si>
    <t>Privathaushalte, POM</t>
  </si>
  <si>
    <t>Dienstleistungen, POM</t>
  </si>
  <si>
    <t>Industrie, POM</t>
  </si>
  <si>
    <t>Verkehr, POM</t>
  </si>
  <si>
    <t>Elektrizität, POM</t>
  </si>
  <si>
    <t>Wasserstoff, Verkehr, POM</t>
  </si>
  <si>
    <t>(TWh)</t>
  </si>
  <si>
    <t>Produktion</t>
  </si>
  <si>
    <t>Szenario WWB, Variante C</t>
  </si>
  <si>
    <t>Produktion (Jahr)</t>
  </si>
  <si>
    <t>(TWh; hydrologisches Jahr)</t>
  </si>
  <si>
    <t>Wasserkraftwerke</t>
  </si>
  <si>
    <t xml:space="preserve">      bestehende Wasserkraftwerke</t>
  </si>
  <si>
    <t xml:space="preserve">      neue Wasserkraftwerke</t>
  </si>
  <si>
    <t>Kernkraftwerke</t>
  </si>
  <si>
    <t xml:space="preserve"> -</t>
  </si>
  <si>
    <t>Fossil KW</t>
  </si>
  <si>
    <t xml:space="preserve">      bestehende fossile KW</t>
  </si>
  <si>
    <t xml:space="preserve">      neue Kombikraftwerke</t>
  </si>
  <si>
    <t xml:space="preserve">      neue fossile WKK</t>
  </si>
  <si>
    <t>Erneuerbare</t>
  </si>
  <si>
    <t xml:space="preserve">      bestehende Erneuerbare</t>
  </si>
  <si>
    <t xml:space="preserve">      neue Erneuerbare</t>
  </si>
  <si>
    <t>Photovoltaik</t>
  </si>
  <si>
    <t>Windenergie</t>
  </si>
  <si>
    <t>Biomasse (Holzgas)</t>
  </si>
  <si>
    <t>Biomasse-WKK (Holz)</t>
  </si>
  <si>
    <t>Biogas-WKK</t>
  </si>
  <si>
    <t>ARA-WKK</t>
  </si>
  <si>
    <t>KVA-WKK (50 % EE-Anteil)</t>
  </si>
  <si>
    <t>Deponiegas-WKK</t>
  </si>
  <si>
    <t>Produktion Brutto</t>
  </si>
  <si>
    <t>Speicherpumpen</t>
  </si>
  <si>
    <t>Produktion Netto</t>
  </si>
  <si>
    <t>Importe</t>
  </si>
  <si>
    <t xml:space="preserve">    bestehende Bezugsrechte</t>
  </si>
  <si>
    <t xml:space="preserve">    neue Importe</t>
  </si>
  <si>
    <t>Exporte</t>
  </si>
  <si>
    <t xml:space="preserve">    Lieferverpflichtungen</t>
  </si>
  <si>
    <t xml:space="preserve">    übrige Exporte</t>
  </si>
  <si>
    <t>Import - Export</t>
  </si>
  <si>
    <t>Produktion+Import-Export (Mittlere Beschaffung, Landesverbrauch)</t>
  </si>
  <si>
    <t>Bruttonachfrage</t>
  </si>
  <si>
    <t>Produktion (Winterhalbjahr)</t>
  </si>
  <si>
    <t>(TWh; Winterhalbjahr)</t>
  </si>
  <si>
    <t xml:space="preserve">    bestehende Wasserkraftwerke </t>
  </si>
  <si>
    <t xml:space="preserve">    neue Wasserkraftwerke</t>
  </si>
  <si>
    <t>Fossile KW *</t>
  </si>
  <si>
    <t xml:space="preserve">    bestehende fossile KW</t>
  </si>
  <si>
    <t xml:space="preserve">    neue Kombikraftwerke</t>
  </si>
  <si>
    <t xml:space="preserve">    neue fossile WKK</t>
  </si>
  <si>
    <t>Erneuerbare *</t>
  </si>
  <si>
    <t xml:space="preserve">    bestehende Erneuerbare</t>
  </si>
  <si>
    <t xml:space="preserve">    neue Erneuerbare</t>
  </si>
  <si>
    <t>Speicherpumpen der Speicherpumpen</t>
  </si>
  <si>
    <t xml:space="preserve">    Lieferverfplichtungen</t>
  </si>
  <si>
    <t>Tabelle 3-17:</t>
  </si>
  <si>
    <t>Produktion (Sommerhalbjahr)</t>
  </si>
  <si>
    <t>(TWh; Sommerhalbjahr)</t>
  </si>
  <si>
    <t>Energieträgereinsatz in der Elektrizitätserzeugung (Input)</t>
  </si>
  <si>
    <t>Tabelle 3-19:</t>
  </si>
  <si>
    <t>Energieträgereinsatz, hydrologisches Jahr, in PJ</t>
  </si>
  <si>
    <t>Mineralöle</t>
  </si>
  <si>
    <t>Abfall</t>
  </si>
  <si>
    <t>Uran</t>
  </si>
  <si>
    <t>Windkraft</t>
  </si>
  <si>
    <t>Sonnenenergie</t>
  </si>
  <si>
    <t>Gesamt Inland</t>
  </si>
  <si>
    <t>Import-Export-Saldo</t>
  </si>
  <si>
    <t>Wärmegutschriften</t>
  </si>
  <si>
    <t>Gesamt</t>
  </si>
  <si>
    <t>Import-Anteile</t>
  </si>
  <si>
    <t>Tabelle 3-20:</t>
  </si>
  <si>
    <t>Szenario WWB, Variante C&amp;E</t>
  </si>
  <si>
    <t>Produktion (hydrologisches Jahr)</t>
  </si>
  <si>
    <t>Tabelle 3-22:</t>
  </si>
  <si>
    <t xml:space="preserve">    bestehende Wasserkraftwerke</t>
  </si>
  <si>
    <t xml:space="preserve">Speicherpumpen der Speicherpumpen </t>
  </si>
  <si>
    <t>Tabelle 3-24:</t>
  </si>
  <si>
    <t>Tabelle 3-26:</t>
  </si>
  <si>
    <t>Tabelle 3-27:</t>
  </si>
  <si>
    <t>Szenario NEP, Variante C</t>
  </si>
  <si>
    <t>Tabelle 3-29:</t>
  </si>
  <si>
    <t>Tabelle 3-31:</t>
  </si>
  <si>
    <t>Tabelle 3-33:</t>
  </si>
  <si>
    <t>Tabelle 3-34:</t>
  </si>
  <si>
    <t>Szenario NEP, Variante C&amp;E</t>
  </si>
  <si>
    <t>Tabelle 3-36:</t>
  </si>
  <si>
    <t>Tabelle 3-38:</t>
  </si>
  <si>
    <t>Tabelle 3-40:</t>
  </si>
  <si>
    <t>Tabelle 3-41:</t>
  </si>
  <si>
    <t>Szenario NEP, Variante E</t>
  </si>
  <si>
    <t>Tabelle 3-43:</t>
  </si>
  <si>
    <t>Tabelle 3-45:</t>
  </si>
  <si>
    <t>Tabelle 3-47:</t>
  </si>
  <si>
    <t>Tabelle 3-48:</t>
  </si>
  <si>
    <t>Szenario POM, Variante C</t>
  </si>
  <si>
    <t xml:space="preserve">Speicherpumpen </t>
  </si>
  <si>
    <t>Tabelle 3-50:</t>
  </si>
  <si>
    <t>Tabelle 3-52:</t>
  </si>
  <si>
    <t>Tabelle 3-54:</t>
  </si>
  <si>
    <t>Tabelle 3-55:</t>
  </si>
  <si>
    <t>Szenario POM, Variante C&amp;E</t>
  </si>
  <si>
    <t>Tabelle 3-57:</t>
  </si>
  <si>
    <t>Tabelle 3-59:</t>
  </si>
  <si>
    <t>Tabelle 3-61:</t>
  </si>
  <si>
    <t>Tabelle 3-62:</t>
  </si>
  <si>
    <t>Szenario POM, Variante E</t>
  </si>
  <si>
    <t>Tabelle 3-64:</t>
  </si>
  <si>
    <t>Tabelle 3-66:</t>
  </si>
  <si>
    <t>Tabelle 3-68:</t>
  </si>
  <si>
    <t>CO2-Emissionen</t>
  </si>
  <si>
    <t>Tabelle 3-70:</t>
  </si>
  <si>
    <t>Szenario WWB</t>
  </si>
  <si>
    <t>CO2-Emissionen nach Verbrauchergruppen und Energieträgern,</t>
  </si>
  <si>
    <t>in Mio. t (Fortsetzung)</t>
  </si>
  <si>
    <t>Elektrizität - Var. C</t>
  </si>
  <si>
    <t>Elektrizität - Var. C&amp;E</t>
  </si>
  <si>
    <t>foss. Einsatz Elektrizität - Var. C</t>
  </si>
  <si>
    <t>foss. Einsatz Elektrizität - Var. C&amp;E</t>
  </si>
  <si>
    <t>Tabelle 3-72:</t>
  </si>
  <si>
    <t>Szenario NEP</t>
  </si>
  <si>
    <t>CO2 -Emissionen nach Verbrauchergruppen und Energieträgern,</t>
  </si>
  <si>
    <t>Elektrizität - Var. E</t>
  </si>
  <si>
    <t>foss. Einsatz Elektrizität - Var. E</t>
  </si>
  <si>
    <t>Tabelle 3-74:</t>
  </si>
  <si>
    <t>Szenario POM</t>
  </si>
  <si>
    <t>(Rp/kWh, 2010)</t>
  </si>
  <si>
    <t>(p.74)</t>
  </si>
  <si>
    <t>TV</t>
  </si>
  <si>
    <t>Bestandskosten Netz (p.74)</t>
  </si>
  <si>
    <t>0.2-0.7 p.a.</t>
  </si>
  <si>
    <t>Zubau Übertragungsnetz  (p.74; Swissgrid's "strategische Netze")</t>
  </si>
  <si>
    <t>Investitionen Netz (p. 74-75; refers to consentec study)</t>
  </si>
  <si>
    <t>Netzverstärkung (mainly distr-gird) classic tech, NEP+C+E</t>
  </si>
  <si>
    <t>Netzverstärkung (mainly distr-grid) classic tech, WWB+C+E</t>
  </si>
  <si>
    <t>Geräteeffizenz Haushalte, POM (p.512)</t>
  </si>
  <si>
    <t>Electricity, WWB+C, POM+C</t>
  </si>
  <si>
    <t>Geräteeff. Haushalte, NEP (p.381)</t>
  </si>
  <si>
    <t>CO2-Emissionen (Stromerzeugung ohne Import, p. 207)</t>
  </si>
  <si>
    <t>(mio t. CO2)</t>
  </si>
  <si>
    <t>Szenario WWB+C</t>
  </si>
  <si>
    <t>Szenario WWB+C+E</t>
  </si>
  <si>
    <t>Szenario NEP+C</t>
  </si>
  <si>
    <t>Szenario NEP+C+E</t>
  </si>
  <si>
    <t>Szenario NEP+E</t>
  </si>
  <si>
    <t>Szenario POM+C</t>
  </si>
  <si>
    <t>Szenario POM+C+E</t>
  </si>
  <si>
    <t>Szenario POM+E</t>
  </si>
  <si>
    <t>CO2-Preis (p. 69)</t>
  </si>
  <si>
    <t>Szenario WWB, POM</t>
  </si>
  <si>
    <t>(USD 2010/t CO2)</t>
  </si>
  <si>
    <t>(Mio. CHF 2010)</t>
  </si>
  <si>
    <t>(Mrd. CHF 2010, cumulative)</t>
  </si>
  <si>
    <t>(Rp./kWh, 2010)</t>
  </si>
  <si>
    <t>siehe p. 211</t>
  </si>
  <si>
    <t>CCGT (avg., 3000-7000 Vollast), Szenario WWB, POM</t>
  </si>
  <si>
    <t>Gestehungskosten (ohne CO2-Preis) (p. 223, 225)</t>
  </si>
  <si>
    <t>WKK, Szenario WWB, POM, min</t>
  </si>
  <si>
    <t>Wind, Szenario WWB, min</t>
  </si>
  <si>
    <r>
      <t>WKK, Szenario WWB, POM, max,</t>
    </r>
    <r>
      <rPr>
        <b/>
        <sz val="11"/>
        <color theme="1"/>
        <rFont val="Arial"/>
        <family val="2"/>
      </rPr>
      <t xml:space="preserve"> keine Zeitangabe</t>
    </r>
  </si>
  <si>
    <r>
      <t xml:space="preserve">Wind, Szenario WWB, max, </t>
    </r>
    <r>
      <rPr>
        <b/>
        <sz val="11"/>
        <color theme="1"/>
        <rFont val="Arial"/>
        <family val="2"/>
      </rPr>
      <t>keine Zeitangabe</t>
    </r>
  </si>
  <si>
    <r>
      <t>PV, Szenario WWB, POM, max,</t>
    </r>
    <r>
      <rPr>
        <b/>
        <sz val="11"/>
        <color theme="1"/>
        <rFont val="Arial"/>
        <family val="2"/>
      </rPr>
      <t xml:space="preserve"> keine Zeitangabe</t>
    </r>
  </si>
  <si>
    <t>PV, Szenario WWB, POM, min</t>
  </si>
  <si>
    <r>
      <t xml:space="preserve">Biogas, Szenario WWB, max, </t>
    </r>
    <r>
      <rPr>
        <b/>
        <sz val="11"/>
        <color theme="1"/>
        <rFont val="Arial"/>
        <family val="2"/>
      </rPr>
      <t>keine Zeitangabe</t>
    </r>
  </si>
  <si>
    <t>Biogas, Szenario WWB, min</t>
  </si>
  <si>
    <r>
      <t xml:space="preserve">Biomasse, Szenario WWB, max, </t>
    </r>
    <r>
      <rPr>
        <b/>
        <sz val="11"/>
        <color theme="1"/>
        <rFont val="Arial"/>
        <family val="2"/>
      </rPr>
      <t>keine Zeitangabe</t>
    </r>
  </si>
  <si>
    <t>Biomasse, Szenario WWB, min</t>
  </si>
  <si>
    <t>Importe (p. 227), keine Angabe</t>
  </si>
  <si>
    <t>Potentiale (realisierbar, p.232) (p. 233, 234)</t>
  </si>
  <si>
    <t>(GWh/year)</t>
  </si>
  <si>
    <t>Wasserkraft, C</t>
  </si>
  <si>
    <t>Fossil WKK, C</t>
  </si>
  <si>
    <t>Biomass (Holz), C</t>
  </si>
  <si>
    <t>ARA, C</t>
  </si>
  <si>
    <t>Biogas, C</t>
  </si>
  <si>
    <t>PV, C</t>
  </si>
  <si>
    <t>Wind, C</t>
  </si>
  <si>
    <t>Geothermie, C</t>
  </si>
  <si>
    <t>KVA (50% EE), C</t>
  </si>
  <si>
    <t>ARA, C+E, E</t>
  </si>
  <si>
    <t>Biogas, C+E, E</t>
  </si>
  <si>
    <t>PV, C+E, E</t>
  </si>
  <si>
    <t>Wind, C+E, E</t>
  </si>
  <si>
    <t>Geothermie, C+E, E</t>
  </si>
  <si>
    <t>KVA (50% EE), C+E, E</t>
  </si>
  <si>
    <t>Biomass (Holz), C+E, E</t>
  </si>
  <si>
    <t>Wasserkraft, C+E, E</t>
  </si>
  <si>
    <t>Fossil WKK, C+E, E</t>
  </si>
  <si>
    <t>Kumulierte, diskontierte (2.5%) Gesamtkosten (p. 211, p. 612)</t>
  </si>
  <si>
    <t>Yearly production costs (inkl. CO2-preis, Gaspreis) (p. 209, p. 358-361, p. 481-486, p.604-610)</t>
  </si>
  <si>
    <t>Gestehungskosten (inkl. CO2-preis, Gaspreis, ohne Wärmegutschriften) (p. 209, p. 358-361, p. 482-486,  p. 605-611)</t>
  </si>
  <si>
    <t>Konv.-thermische, POM+C+E</t>
  </si>
  <si>
    <t>Fossile WKK, POM+C+E</t>
  </si>
  <si>
    <t>Erneuerbare mit WKK, POM+C+E</t>
  </si>
  <si>
    <t>Erneuerbare, POM+C+E</t>
  </si>
  <si>
    <t>Import, POM+C+E</t>
  </si>
  <si>
    <t>Konv.-thermisch, POM+C</t>
  </si>
  <si>
    <t>Fossile WKK, POM+C</t>
  </si>
  <si>
    <t>Erneuerbare mit WKK, POM+C</t>
  </si>
  <si>
    <t>Erneuerbare, POM+C</t>
  </si>
  <si>
    <t>Import, POM+C</t>
  </si>
  <si>
    <t>Konv.-thermisch, POM+E</t>
  </si>
  <si>
    <t>Fossile WKK, POM+E</t>
  </si>
  <si>
    <t>Erneuerbare mit WKK, POM+E</t>
  </si>
  <si>
    <t>Erneuerbare, POM+E</t>
  </si>
  <si>
    <t>Import, POM+E</t>
  </si>
  <si>
    <t>Konv.-thermische, NEP+C+E</t>
  </si>
  <si>
    <t>Fossile WKK, NEP+C+E</t>
  </si>
  <si>
    <t>Erneuerbare mit WKK, NEP+C+E</t>
  </si>
  <si>
    <t>Erneuerbare, NEP+C+E</t>
  </si>
  <si>
    <t>Import, NEP+C+E</t>
  </si>
  <si>
    <t>Konv.-thermisch, NEP+C</t>
  </si>
  <si>
    <t>Fossile WKK, NEP+C</t>
  </si>
  <si>
    <t>Erneuerbare mit WKK, NEP+C</t>
  </si>
  <si>
    <t>Erneuerbare, NEP+C</t>
  </si>
  <si>
    <t>Import, NEP+C</t>
  </si>
  <si>
    <t>Konv.-thermisch, NEP+E</t>
  </si>
  <si>
    <t>Fossile WKK, NEP+E</t>
  </si>
  <si>
    <t>Erneuerbare mit WKK, NEP+E</t>
  </si>
  <si>
    <t>Erneuerbare, NEP+E</t>
  </si>
  <si>
    <t>Import, NEP+E</t>
  </si>
  <si>
    <t>Konv.-thermische, WWB+C+E</t>
  </si>
  <si>
    <t>Fossile WKK, WWB+C+E</t>
  </si>
  <si>
    <t>Erneuerbare mit WKK, WWB+C+E</t>
  </si>
  <si>
    <t>Erneuerbare, WWB+C+E</t>
  </si>
  <si>
    <t>Import, WWB+C+E</t>
  </si>
  <si>
    <t>Konv.-thermisch, WWB+C</t>
  </si>
  <si>
    <t>Fossile WKK, WWB+C</t>
  </si>
  <si>
    <t>Erneuerbare mit WKK, WWB+C</t>
  </si>
  <si>
    <t>Erneuerbare, WWB+C</t>
  </si>
  <si>
    <t>Import, WWB+C</t>
  </si>
  <si>
    <t>Wasserkraft, alle Szenarien</t>
  </si>
  <si>
    <t>Kernkraft, alle Szenarien</t>
  </si>
  <si>
    <t>KVA, alle Szenarien</t>
  </si>
  <si>
    <t>see BfS Scenarios</t>
  </si>
  <si>
    <t>SCS</t>
  </si>
  <si>
    <t>Nuklear, NEP+E, Sommer</t>
  </si>
  <si>
    <t>Laufwasser, NEP+E, Sommer</t>
  </si>
  <si>
    <t>Speicherwasser, NEP+E, Sommer</t>
  </si>
  <si>
    <t>Pumpspeicher, NEP+E, Sommer</t>
  </si>
  <si>
    <t>Geothermisch, NEP+E, Sommer</t>
  </si>
  <si>
    <t>Biomasse, NEP+E, Sommer</t>
  </si>
  <si>
    <t>Wind, NEP+E, Sommer</t>
  </si>
  <si>
    <t>CCGT, NEP+E, Sommer</t>
  </si>
  <si>
    <t>Batteriespeicher, NEP+E, Sommer</t>
  </si>
  <si>
    <t>PV, NEP+E, Sommer</t>
  </si>
  <si>
    <t>Import, NEP+E, Sommer</t>
  </si>
  <si>
    <t>Nuklear, NEP+E, Winter</t>
  </si>
  <si>
    <t>Laufwasser, NEP+E, Winter</t>
  </si>
  <si>
    <t>Speicherwasser, NEP+E, Winter</t>
  </si>
  <si>
    <t>Pumpspeicher, NEP+E, Winter</t>
  </si>
  <si>
    <t>Geothermisch, NEP+E, Winter</t>
  </si>
  <si>
    <t>Biomasse, NEP+E, Winter</t>
  </si>
  <si>
    <t>PV, NEP+E, Winter</t>
  </si>
  <si>
    <t>Wind, NEP+E, Winter</t>
  </si>
  <si>
    <t>CCGT, NEP+E, Winter</t>
  </si>
  <si>
    <t>Batteriespeicher, NEP+E, Winter</t>
  </si>
  <si>
    <t>Import, NEP+E, Winter</t>
  </si>
  <si>
    <t>Nuklear, NEP+E</t>
  </si>
  <si>
    <t>Laufwasser, NEP+E</t>
  </si>
  <si>
    <t>Speicherwasser, NEP+E</t>
  </si>
  <si>
    <t>Pumpspeicher, NEP+E</t>
  </si>
  <si>
    <t>Geothermisch, NEP+E</t>
  </si>
  <si>
    <t>Biomasse, NEP+E</t>
  </si>
  <si>
    <t>PV, NEP+E</t>
  </si>
  <si>
    <t>Wind, NEP+E</t>
  </si>
  <si>
    <t>CCGT, NEP+E</t>
  </si>
  <si>
    <t>Batteriespeicher, NEP+E</t>
  </si>
  <si>
    <t>Brutto Produktion, NEP+E, Sommer</t>
  </si>
  <si>
    <t>Brutto Produktion, NEP+E, Winter</t>
  </si>
  <si>
    <t>Brutto Produktion, NEP+E</t>
  </si>
  <si>
    <t>Export, NEP+E, Sommer</t>
  </si>
  <si>
    <t>Pumpen, NEP+E, Sommer</t>
  </si>
  <si>
    <t>Verlust, NEP+E, Sommer</t>
  </si>
  <si>
    <t>Waste-Energy, NEP+E, Sommer</t>
  </si>
  <si>
    <t>Endverbrauch, NEP+E, Sommer</t>
  </si>
  <si>
    <t>Pumpen, NEP+E</t>
  </si>
  <si>
    <t>Verlust, NEP+E</t>
  </si>
  <si>
    <t>Waste-Energy, NEP+E</t>
  </si>
  <si>
    <t>Endverbrauch, NEP+E</t>
  </si>
  <si>
    <t>Export, NEP+E, Winter</t>
  </si>
  <si>
    <t>Pumpen, NEP+E, Winter</t>
  </si>
  <si>
    <t>Verlust, NEP+E, Winter</t>
  </si>
  <si>
    <t>Waste-Energy, NEP+E, Winter</t>
  </si>
  <si>
    <t>Endverbrauch, NEP+E, Winter</t>
  </si>
  <si>
    <t>Trade, NEP+E, Winter</t>
  </si>
  <si>
    <t>Konv.-Therm., NEP+E, Sommer</t>
  </si>
  <si>
    <t>Konv.-Therm., NEP+E, Winter</t>
  </si>
  <si>
    <t>Konv.-Therm., NEP+E</t>
  </si>
  <si>
    <t>Produktion (Szenario SCS:NEP+E) (p.33)</t>
  </si>
  <si>
    <t>Konv.-Therm., WWB+C+E, Sommer</t>
  </si>
  <si>
    <t>Nuklear, WWB+C+E, Sommer</t>
  </si>
  <si>
    <t>Laufwasser, WWB+C+E, Sommer</t>
  </si>
  <si>
    <t>Speicherwasser, WWB+C+E, Sommer</t>
  </si>
  <si>
    <t>Pumpspeicher, WWB+C+E, Sommer</t>
  </si>
  <si>
    <t>Geothermisch, WWB+C+E, Sommer</t>
  </si>
  <si>
    <t>Biomasse, WWB+C+E, Sommer</t>
  </si>
  <si>
    <t>PV, WWB+C+E, Sommer</t>
  </si>
  <si>
    <t>Wind, WWB+C+E, Sommer</t>
  </si>
  <si>
    <t>CCGT, WWB+C+E, Sommer</t>
  </si>
  <si>
    <t>Batteriespeicher, WWB+C+E, Sommer</t>
  </si>
  <si>
    <t>Import, WWB+C+E, Sommer</t>
  </si>
  <si>
    <t>Export, WWB+C+E, Sommer</t>
  </si>
  <si>
    <t>Trade, WWB+C+E, Winter</t>
  </si>
  <si>
    <t>Brutto Produktion, WWB+C+E, Sommer</t>
  </si>
  <si>
    <t>Pumpen, WWB+C+E, Sommer</t>
  </si>
  <si>
    <t>Verlust, WWB+C+E, Sommer</t>
  </si>
  <si>
    <t>Waste-Energy, WWB+C+E, Sommer</t>
  </si>
  <si>
    <t>Endverbrauch, WWB+C+E, Sommer</t>
  </si>
  <si>
    <t>Konv.-Therm., WWB+C+E, Winter</t>
  </si>
  <si>
    <t>Nuklear, WWB+C+E, Winter</t>
  </si>
  <si>
    <t>Laufwasser, WWB+C+E, Winter</t>
  </si>
  <si>
    <t>Speicherwasser, WWB+C+E, Winter</t>
  </si>
  <si>
    <t>Pumpspeicher, WWB+C+E, Winter</t>
  </si>
  <si>
    <t>Geothermisch, WWB+C+E, Winter</t>
  </si>
  <si>
    <t>Biomasse, WWB+C+E, Winter</t>
  </si>
  <si>
    <t>PV, WWB+C+E, Winter</t>
  </si>
  <si>
    <t>Wind, WWB+C+E, Winter</t>
  </si>
  <si>
    <t>CCGT, WWB+C+E, Winter</t>
  </si>
  <si>
    <t>Batteriespeicher, WWB+C+E, Winter</t>
  </si>
  <si>
    <t>Import, WWB+C+E, Winter</t>
  </si>
  <si>
    <t>Export, WWB+C+E, Winter</t>
  </si>
  <si>
    <t>Brutto Produktion, WWB+C+E, Winter</t>
  </si>
  <si>
    <t>Pumpen, WWB+C+E, Winter</t>
  </si>
  <si>
    <t>Verlust, WWB+C+E, Winter</t>
  </si>
  <si>
    <t>Waste-Energy, WWB+C+E, Winter</t>
  </si>
  <si>
    <t>Endverbrauch, WWB+C+E, Winter</t>
  </si>
  <si>
    <t>Konv.-Therm., WWB+C+E</t>
  </si>
  <si>
    <t>Nuklear, WWB+C+E</t>
  </si>
  <si>
    <t>Laufwasser, WWB+C+E</t>
  </si>
  <si>
    <t>Speicherwasser, WWB+C+E</t>
  </si>
  <si>
    <t>Pumpspeicher, WWB+C+E</t>
  </si>
  <si>
    <t>Geothermisch, WWB+C+E</t>
  </si>
  <si>
    <t>Biomasse, WWB+C+E</t>
  </si>
  <si>
    <t>PV, WWB+C+E</t>
  </si>
  <si>
    <t>Wind, WWB+C+E</t>
  </si>
  <si>
    <t>CCGT, WWB+C+E</t>
  </si>
  <si>
    <t>Batteriespeicher, WWB+C+E</t>
  </si>
  <si>
    <t>Brutto Produktion, WWB+C+E</t>
  </si>
  <si>
    <t>Pumpen, WWB+C+E</t>
  </si>
  <si>
    <t>Verlust, WWB+C+E</t>
  </si>
  <si>
    <t>Waste-Energy, WWB+C+E</t>
  </si>
  <si>
    <t>Endverbrauch, WWB+C+E</t>
  </si>
  <si>
    <t>(Rp/kWh output)</t>
  </si>
  <si>
    <t>Gas</t>
  </si>
  <si>
    <t>Gestehungskosten (ohne Netz) (p. 41, p. 63)</t>
  </si>
  <si>
    <t>Konsumentenpreis (mit Netz) (p. 41, p. 63)</t>
  </si>
  <si>
    <t>CCGT</t>
  </si>
  <si>
    <t>Laufwasser</t>
  </si>
  <si>
    <t>Nuklear</t>
  </si>
  <si>
    <t>Konv.-Therm.</t>
  </si>
  <si>
    <t>Speicherwasser</t>
  </si>
  <si>
    <t>Geothermisch</t>
  </si>
  <si>
    <t>Batteriespeicher</t>
  </si>
  <si>
    <t>Fuel costs (per ELC output) (p. 41, p.63)</t>
  </si>
  <si>
    <t>(Mio. t CO2)</t>
  </si>
  <si>
    <t>Comparison</t>
  </si>
  <si>
    <t>Landesverbrauch (vor Netzverlust) (p. 45)</t>
  </si>
  <si>
    <t>Greenpeace</t>
  </si>
  <si>
    <t>Cleantech</t>
  </si>
  <si>
    <t>Yearly Demand (nach Pumpen, nach I/E, vor Verlust)</t>
  </si>
  <si>
    <t>Wasser (brutto, d.h. vor Pumpen)</t>
  </si>
  <si>
    <t>Produktion (vor Pumpen, vor Verlust)</t>
  </si>
  <si>
    <t>Verteilungsverluste und Eigenverbrauch (Pumpen)</t>
  </si>
  <si>
    <t>Produktion (vor Verlust, nach Pumpen)</t>
  </si>
  <si>
    <r>
      <rPr>
        <sz val="11"/>
        <color theme="1"/>
        <rFont val="Arial"/>
        <family val="2"/>
      </rPr>
      <t>Verbrauch</t>
    </r>
    <r>
      <rPr>
        <b/>
        <sz val="11"/>
        <color theme="1"/>
        <rFont val="Arial"/>
        <family val="2"/>
      </rPr>
      <t xml:space="preserve"> (ohne H2-Produktion, vor Pumpen)</t>
    </r>
  </si>
  <si>
    <t>Produktion ohne WKK</t>
  </si>
  <si>
    <t>Wasserkraft (netto)</t>
  </si>
  <si>
    <t xml:space="preserve">VSE, Szen. 1 </t>
  </si>
  <si>
    <t>VSE, Szen. 2</t>
  </si>
  <si>
    <t>VSE, Szen. 3</t>
  </si>
  <si>
    <t>BFE, WWB</t>
  </si>
  <si>
    <t>BFE, NEP</t>
  </si>
  <si>
    <t>BFE, POM</t>
  </si>
  <si>
    <t>SCS, WWB</t>
  </si>
  <si>
    <t>SCS, NEP</t>
  </si>
  <si>
    <t>Hydro</t>
  </si>
  <si>
    <t>Nuclear</t>
  </si>
  <si>
    <t>Hydro storage</t>
  </si>
  <si>
    <t>Biomass+Geo</t>
  </si>
  <si>
    <t>VSE, Szen.1</t>
  </si>
  <si>
    <t>VSE, Szen.2</t>
  </si>
  <si>
    <t>VSE, Szen.3</t>
  </si>
  <si>
    <t>BFE, WWB+C</t>
  </si>
  <si>
    <t>BFE, WWB+C+E</t>
  </si>
  <si>
    <t>BFE, NEP+C</t>
  </si>
  <si>
    <t>BFE, NEP+C+E</t>
  </si>
  <si>
    <t>BFE, NEP+E</t>
  </si>
  <si>
    <t>BFE, POM+C</t>
  </si>
  <si>
    <t>BFE, POM+C+E</t>
  </si>
  <si>
    <t>BFE, POM+E</t>
  </si>
  <si>
    <t>lower bound of space needed for charting</t>
  </si>
  <si>
    <t>2002-08 avg</t>
  </si>
  <si>
    <t>Cleantech: 2010: the 60 in the report may be wrong</t>
  </si>
  <si>
    <t>BFE: KVA attributed 100% to Biomass</t>
  </si>
  <si>
    <t>Assumptions in chart:</t>
  </si>
  <si>
    <t>Greenpeace: after pumping (pumping const. over time); without H2 production</t>
  </si>
  <si>
    <t>Cleantech: KVA attributed 100% to Biomass</t>
  </si>
  <si>
    <t>Greenpeace: Production from H2 under Biomass; pump consumption as of 2010</t>
  </si>
  <si>
    <t>Sum</t>
  </si>
  <si>
    <t>Net import</t>
  </si>
  <si>
    <t>Gas+Net import</t>
  </si>
  <si>
    <t>Geo</t>
  </si>
  <si>
    <t>Hydro river</t>
  </si>
  <si>
    <t>average</t>
  </si>
  <si>
    <t>Trade, WWB+C+E</t>
  </si>
  <si>
    <t>Produktion (Szenario SCS:WWB+C+E) (p.55)</t>
  </si>
  <si>
    <t>BfE row offsets:</t>
  </si>
  <si>
    <t xml:space="preserve">  Biomasse (= Erneuerbar-PV-Wind)</t>
  </si>
  <si>
    <t>Endverbrauch (vor Verlust)</t>
  </si>
  <si>
    <t>Endverbrauch (nach Verlust)</t>
  </si>
  <si>
    <t>Supply mix, 2050, yearly</t>
  </si>
  <si>
    <t>Gas: also WKK and other thermal</t>
  </si>
  <si>
    <t>Gas, Fossils</t>
  </si>
  <si>
    <t>Supply mix, 2040, yearly</t>
  </si>
  <si>
    <t>!2050 missmatch with Abbildung 7.1</t>
  </si>
  <si>
    <t>!2050 missmatch with Abbildung 7.2</t>
  </si>
  <si>
    <t>!2050 missmatch with Abbildung 7.3</t>
  </si>
  <si>
    <t>Supply mix, 2030, yearly</t>
  </si>
  <si>
    <t>Supply mix, 2035, yearly</t>
  </si>
  <si>
    <t>Supply mix, 2020, yearly</t>
  </si>
  <si>
    <t>summed up:</t>
  </si>
  <si>
    <t>Prices (ohne Netz) (Abb. 8.3, p.81; p. 96)</t>
  </si>
  <si>
    <t>Retail, yearly average price (Szenario 2)</t>
  </si>
  <si>
    <t>Retail, yearly average price (Szenario 3)</t>
  </si>
  <si>
    <t>(2011 Rp./kWh)</t>
  </si>
  <si>
    <t>Biomass</t>
  </si>
  <si>
    <t>Production costs total (Gestehungskosten)</t>
  </si>
  <si>
    <t>Production costs PV</t>
  </si>
  <si>
    <t>VSE, Szen. 1</t>
  </si>
  <si>
    <t>SCS, WWB+C+E</t>
  </si>
  <si>
    <t>SCS, NEP+E</t>
  </si>
  <si>
    <t>Total, WWB+C+E</t>
  </si>
  <si>
    <t>Total, NEP+E</t>
  </si>
  <si>
    <t>Kühlgefrier-Komb.</t>
  </si>
  <si>
    <t>(Cleantech = NA)</t>
  </si>
  <si>
    <t>(ETH: NA)</t>
  </si>
  <si>
    <t>(Greenpeace: NA)</t>
  </si>
  <si>
    <t>BFE, max</t>
  </si>
  <si>
    <t>BFE, min</t>
  </si>
  <si>
    <t>VSE: Dach (10-100kW)</t>
  </si>
  <si>
    <t>VSE, 10% capex</t>
  </si>
  <si>
    <t>VSE, 5% capex</t>
  </si>
  <si>
    <t>Charting assumptions:</t>
  </si>
  <si>
    <t>BFE: range without year</t>
  </si>
  <si>
    <t>Electricity, NEP+C+E</t>
  </si>
  <si>
    <t>(p.72)</t>
  </si>
  <si>
    <t>Retail prices (p. 72, p. 74)</t>
  </si>
  <si>
    <t>BFE, WWB+C, POM+C</t>
  </si>
  <si>
    <t>Prices (Enduser, mit Netz, mit Förderung, mit Zertifikatsimport) (p. 96)</t>
  </si>
  <si>
    <t>Retail costs (with KEV, without "Abgaben", without VAT)</t>
  </si>
  <si>
    <t>average (excl. SCS)</t>
  </si>
  <si>
    <t>Light (kWh/m2)</t>
  </si>
  <si>
    <t>Dishwasher</t>
  </si>
  <si>
    <t>Fridge</t>
  </si>
  <si>
    <t>Freezer</t>
  </si>
  <si>
    <t>Washing machine</t>
  </si>
  <si>
    <t>Washer-dryer</t>
  </si>
  <si>
    <t>Dryer</t>
  </si>
  <si>
    <t>Mobile phone</t>
  </si>
  <si>
    <t>Freezer upright</t>
  </si>
  <si>
    <t>Freezer-fridge</t>
  </si>
  <si>
    <t>CO2 -Emissionen nach Verbrauchergruppen und Energieträgern</t>
  </si>
  <si>
    <t>CO2-Emissionen nach Verbrauchergruppen und Energieträgern</t>
  </si>
  <si>
    <t>CO2-Emissions</t>
  </si>
  <si>
    <t>(tCO2/a)</t>
  </si>
  <si>
    <t>(Mio. tCO2/a)</t>
  </si>
  <si>
    <t>CO2-emissionen (Elektrizitätssektor) (p.76)</t>
  </si>
  <si>
    <t>Elekrizitätssektor</t>
  </si>
  <si>
    <t>VSE: netto, mit Restwasserabzug etc. von -2TWh/a</t>
  </si>
  <si>
    <t>BFE: netto; for all scenarios WWB, NEP, POM; netto 1.4TWh/a Bestand (p.233)</t>
  </si>
  <si>
    <t>Wasser Zubau (Basis 2010)</t>
  </si>
  <si>
    <t>Greenpeace: netto (Basis 2010)</t>
  </si>
  <si>
    <t>VSE (Szen. 3)</t>
  </si>
  <si>
    <t>BFE (C+E, E)</t>
  </si>
  <si>
    <t>Water</t>
  </si>
  <si>
    <t>Geothermal</t>
  </si>
  <si>
    <t>ETH</t>
  </si>
  <si>
    <t>Potentials (additional)</t>
  </si>
  <si>
    <t>Max Production</t>
  </si>
  <si>
    <t>VSE (Technical, from IEA, 55% of all area); Cleantech: Production figurs, for all renewables excpet Geothermal and Water</t>
  </si>
  <si>
    <t>ELC-PW, WWB, v-share, (PHEV, BEV, H2)</t>
  </si>
  <si>
    <t>ELC-Nutz, WWB, v-share, (1/2*Leicht+1/2*Schwer)</t>
  </si>
  <si>
    <t>ELC-PW, WWB, v-km, (PHEV, BEV, H2)</t>
  </si>
  <si>
    <t>ELC-Nutz, WWB, v-km, (1/2*Leicht+1/2*Schwer)</t>
  </si>
  <si>
    <t>(CHF/mtoe, 2010)</t>
  </si>
  <si>
    <t>ELC-PW, NEP, POM, v-share, (PHEV, BEV, H2)</t>
  </si>
  <si>
    <t>ELC-Nutz, NEP, POM, v-share, (1/2*Leicht+1/2*Schwer)</t>
  </si>
  <si>
    <t>Elektromobilität (p. 306, Tab. 7-30; p. 428, Tab. 8-30; p. 544: POM = NEP)</t>
  </si>
  <si>
    <t>Gaspreis, Verbraucher (p.72, 74)</t>
  </si>
  <si>
    <t>NA? (Endverbraucherpreis siehe oben)</t>
  </si>
  <si>
    <t>Import Costs Gas</t>
  </si>
  <si>
    <t>BFE (mtoe)</t>
  </si>
  <si>
    <t>Gaspreis, Import (p. 177, 187)</t>
  </si>
  <si>
    <t>SCS (Rp/kWhEl)</t>
  </si>
  <si>
    <t>ELC-PW, NEP, POM, v-km, (PHEV, BEV, H2)</t>
  </si>
  <si>
    <t>ELC-Nutz, NEP, POM, v-km, (1/2*Leicht+1/2*Schwer)</t>
  </si>
  <si>
    <t>Biomass+Geothermal</t>
  </si>
  <si>
    <t>Water total</t>
  </si>
  <si>
    <t>ETH (MITTEL)</t>
  </si>
  <si>
    <t>Potential &amp; Max Production (Grouped Stacked Chart)</t>
  </si>
  <si>
    <t>Biomass (+Waste)</t>
  </si>
  <si>
    <t>VSE potential</t>
  </si>
  <si>
    <t>BFE potential</t>
  </si>
  <si>
    <t>Greenp. potential</t>
  </si>
  <si>
    <t>Greenpeace prod.</t>
  </si>
  <si>
    <t>Hydro (new)</t>
  </si>
  <si>
    <t>BFE max production</t>
  </si>
  <si>
    <t>VSE max production</t>
  </si>
  <si>
    <t>Cleantech prod.</t>
  </si>
  <si>
    <t>Cleantech potential</t>
  </si>
  <si>
    <t>(mio v-km/y)</t>
  </si>
  <si>
    <t>Winter/Summer mix</t>
  </si>
  <si>
    <t>Net Import</t>
  </si>
  <si>
    <t>2011, W</t>
  </si>
  <si>
    <t>2011, S</t>
  </si>
  <si>
    <t>Cleantech, W, 2035</t>
  </si>
  <si>
    <t>Cleantech, S, 2035</t>
  </si>
  <si>
    <t>BFE, WWB+C, W</t>
  </si>
  <si>
    <t>BFE, WWB+C, S</t>
  </si>
  <si>
    <t>BFE, WWB+C+E, W</t>
  </si>
  <si>
    <t>BFE, WWB+C+E, S</t>
  </si>
  <si>
    <t>BFE, NEP+C, W</t>
  </si>
  <si>
    <t>BFE, NEP+C, S</t>
  </si>
  <si>
    <t>BFE, NEP+C+E, W</t>
  </si>
  <si>
    <t>BFE, NEP+C+E, S</t>
  </si>
  <si>
    <t>BFE, NEP+E, W</t>
  </si>
  <si>
    <t>BFE, NEP+E, S</t>
  </si>
  <si>
    <t>BFE, POM+C, W</t>
  </si>
  <si>
    <t>BFE, POM+C, S</t>
  </si>
  <si>
    <t>BFE, POM+C+E, W</t>
  </si>
  <si>
    <t>BFE, POM+C+E, S</t>
  </si>
  <si>
    <t>BFE, POM+E, W</t>
  </si>
  <si>
    <t>BFE, POM+E, S</t>
  </si>
  <si>
    <t>New Hydro</t>
  </si>
  <si>
    <t>Imports</t>
  </si>
  <si>
    <t>4.5-13.9</t>
  </si>
  <si>
    <t>Fuel costs (per ELC output)</t>
  </si>
  <si>
    <t xml:space="preserve">Potentials </t>
  </si>
  <si>
    <t>(TWh/y)</t>
  </si>
  <si>
    <t>Waste/Biogas</t>
  </si>
  <si>
    <t>Hydro existing/refurbished</t>
  </si>
  <si>
    <t>Hydro new</t>
  </si>
  <si>
    <t>Hydro total</t>
  </si>
  <si>
    <t>Pumped-Hydro</t>
  </si>
  <si>
    <t>(CHF2010/t CO2)</t>
  </si>
  <si>
    <t>(Rp./kWhe, gas plant)</t>
  </si>
  <si>
    <t>POM+Gas</t>
  </si>
  <si>
    <t>Production, POM+Gas</t>
  </si>
  <si>
    <t>Gas (Base)</t>
  </si>
  <si>
    <t>Gas (CHP)</t>
  </si>
  <si>
    <t>Gas (Flex)</t>
  </si>
  <si>
    <t>Oil</t>
  </si>
  <si>
    <t>Pumps</t>
  </si>
  <si>
    <t>Waste &amp; Biogas</t>
  </si>
  <si>
    <t>Wood</t>
  </si>
  <si>
    <t>Production, POM+Import</t>
  </si>
  <si>
    <t>Production, POM+Nuclear</t>
  </si>
  <si>
    <t>Production, WWB+Nuclear</t>
  </si>
  <si>
    <t xml:space="preserve">Hydro river </t>
  </si>
  <si>
    <t>Hydro pumped-storage</t>
  </si>
  <si>
    <t>Production, NEP+Gas</t>
  </si>
  <si>
    <t>Production, NEP+Import</t>
  </si>
  <si>
    <t>Production, NEP+Nuclear</t>
  </si>
  <si>
    <t>Production, WWB+Gas</t>
  </si>
  <si>
    <t>Production, WWB+Import</t>
  </si>
  <si>
    <t>(tCO2/y)</t>
  </si>
  <si>
    <t>WWB+Import</t>
  </si>
  <si>
    <t xml:space="preserve">Unit cost of electricity </t>
  </si>
  <si>
    <t>Cost of electricity (exclude trade profits)</t>
  </si>
  <si>
    <t>WWB+Nuclear</t>
  </si>
  <si>
    <t>WWB+Gas</t>
  </si>
  <si>
    <t>Production costs</t>
  </si>
  <si>
    <t>NEP+Gas</t>
  </si>
  <si>
    <t>NEP+Import</t>
  </si>
  <si>
    <t>NEP+Nuclear</t>
  </si>
  <si>
    <t>POM+Import</t>
  </si>
  <si>
    <t>POM+Nuclear</t>
  </si>
  <si>
    <t>Levelized technology costs (2.5% discount)</t>
  </si>
  <si>
    <t>Nuclear EPR</t>
  </si>
  <si>
    <t>Nuclear (incl. Disposal, else 5.74)</t>
  </si>
  <si>
    <t>CO2-Preis (same as in PROGNOS 2012; 1USD2010 = 1.04 CHF2010)</t>
  </si>
  <si>
    <t>Production, POM+Gas, Winter</t>
  </si>
  <si>
    <t>Production, POM+Gas, Summer</t>
  </si>
  <si>
    <t>Produktion (Szenario SCS:Nuclear) (p.55)</t>
  </si>
  <si>
    <t>Konv.-Therm., Nuclear</t>
  </si>
  <si>
    <t>Nuklear, Nuclear</t>
  </si>
  <si>
    <t>Laufwasser, Nuclear</t>
  </si>
  <si>
    <t>Speicherwasser, Nuclear</t>
  </si>
  <si>
    <t>Pumpspeicher, Nuclear</t>
  </si>
  <si>
    <t>Geothermisch, Nuclear</t>
  </si>
  <si>
    <t>Biomasse, Nuclear</t>
  </si>
  <si>
    <t>PV, Nuclear</t>
  </si>
  <si>
    <t>Wind, Nuclear</t>
  </si>
  <si>
    <t>CCGT, Nuclear</t>
  </si>
  <si>
    <t>Batteriespeicher, Nuclear</t>
  </si>
  <si>
    <t>Import, Nuclear</t>
  </si>
  <si>
    <t>Trade, Nuclear</t>
  </si>
  <si>
    <t>Brutto Produktion, Nuclear</t>
  </si>
  <si>
    <t>Pumpen, Nuclear</t>
  </si>
  <si>
    <t>Verlust, Nuclear</t>
  </si>
  <si>
    <t>Waste-Energy, Nuclear</t>
  </si>
  <si>
    <t>Endverbrauch, Nuclear</t>
  </si>
  <si>
    <t>Konv.-Therm., Nuclear, Winter</t>
  </si>
  <si>
    <t>Nuklear, Nuclear, Winter</t>
  </si>
  <si>
    <t>Laufwasser, Nuclear, Winter</t>
  </si>
  <si>
    <t>Speicherwasser, Nuclear, Winter</t>
  </si>
  <si>
    <t>Pumpspeicher, Nuclear, Winter</t>
  </si>
  <si>
    <t>Geothermisch, Nuclear, Winter</t>
  </si>
  <si>
    <t>Biomasse, Nuclear, Winter</t>
  </si>
  <si>
    <t>PV, Nuclear, Winter</t>
  </si>
  <si>
    <t>Wind, Nuclear, Winter</t>
  </si>
  <si>
    <t>CCGT, Nuclear, Winter</t>
  </si>
  <si>
    <t>Batteriespeicher, Nuclear, Winter</t>
  </si>
  <si>
    <t>Import, Nuclear, Winter</t>
  </si>
  <si>
    <t>Export, Nuclear, Winter</t>
  </si>
  <si>
    <t>Trade, Nuclear, Winter</t>
  </si>
  <si>
    <t>Brutto Produktion, Nuclear, Winter</t>
  </si>
  <si>
    <t>Pumpen, Nuclear, Winter</t>
  </si>
  <si>
    <t>Verlust, Nuclear, Winter</t>
  </si>
  <si>
    <t>Waste-Energy, Nuclear, Winter</t>
  </si>
  <si>
    <t>Endverbrauch, Nuclear, Winter</t>
  </si>
  <si>
    <t>Konv.-Therm., Nuclear, Sommer</t>
  </si>
  <si>
    <t>Nuklear, Nuclear, Sommer</t>
  </si>
  <si>
    <t>Laufwasser, Nuclear, Sommer</t>
  </si>
  <si>
    <t>Speicherwasser, Nuclear, Sommer</t>
  </si>
  <si>
    <t>Pumpspeicher, Nuclear, Sommer</t>
  </si>
  <si>
    <t>Geothermisch, Nuclear, Sommer</t>
  </si>
  <si>
    <t>Biomasse, Nuclear, Sommer</t>
  </si>
  <si>
    <t>PV, Nuclear, Sommer</t>
  </si>
  <si>
    <t>Wind, Nuclear, Sommer</t>
  </si>
  <si>
    <t>CCGT, Nuclear, Sommer</t>
  </si>
  <si>
    <t>Batteriespeicher, Nuclear, Sommer</t>
  </si>
  <si>
    <t>Import, Nuclear, Sommer</t>
  </si>
  <si>
    <t>Export, Nuclear, Sommer</t>
  </si>
  <si>
    <t>Brutto Produktion, Nuclear, Sommer</t>
  </si>
  <si>
    <t>Pumpen, Nuclear, Sommer</t>
  </si>
  <si>
    <t>Verlust, Nuclear, Sommer</t>
  </si>
  <si>
    <t>Waste-Energy, Nuclear, Sommer</t>
  </si>
  <si>
    <t>Endverbrauch, Nuclear, Sommer</t>
  </si>
  <si>
    <t>Total, Nuclear</t>
  </si>
  <si>
    <t>Szenario Nuclear</t>
  </si>
  <si>
    <t>Nuclear Gen 2</t>
  </si>
  <si>
    <t>Nuclear Gen 3</t>
  </si>
  <si>
    <t>Nuclear Gen 4</t>
  </si>
  <si>
    <t>CCGT plant</t>
  </si>
  <si>
    <t>Gas-CHP</t>
  </si>
  <si>
    <t>Levelized technology costs (3% discount; p. 28)</t>
  </si>
  <si>
    <t>Potentials (p. 30)</t>
  </si>
  <si>
    <r>
      <t xml:space="preserve">Wood </t>
    </r>
    <r>
      <rPr>
        <b/>
        <sz val="11"/>
        <color theme="1"/>
        <rFont val="Arial"/>
        <family val="2"/>
      </rPr>
      <t>(primary)</t>
    </r>
  </si>
  <si>
    <r>
      <t xml:space="preserve">Biogas </t>
    </r>
    <r>
      <rPr>
        <b/>
        <sz val="11"/>
        <color theme="1"/>
        <rFont val="Arial"/>
        <family val="2"/>
      </rPr>
      <t>(primary)</t>
    </r>
  </si>
  <si>
    <t>Other</t>
  </si>
  <si>
    <t>Solar</t>
  </si>
  <si>
    <t>(PJ/y)</t>
  </si>
  <si>
    <t>CHP (NGA)</t>
  </si>
  <si>
    <t>CCGT (NGA)</t>
  </si>
  <si>
    <t>CHP (Biomass)</t>
  </si>
  <si>
    <t>Yearly production, DEM2, 50% (p. 117, p. 118)</t>
  </si>
  <si>
    <t>Yearly production, DEM2, noClimPol (p. 117, p. 118)</t>
  </si>
  <si>
    <t>Weidmann</t>
  </si>
  <si>
    <t>Hydro netto</t>
  </si>
  <si>
    <t>Weidmann: all energy use, assumption 33% efficiency; ES (own assumption): Biogas &amp; Waste: 50% renewables</t>
  </si>
  <si>
    <t>SCS, Nuclear</t>
  </si>
  <si>
    <t>PSI</t>
  </si>
  <si>
    <t>Total Supply</t>
  </si>
  <si>
    <t>SCS, Nucl</t>
  </si>
  <si>
    <t>SCS, NEP+E, S</t>
  </si>
  <si>
    <t>SCS, NEP+E, W</t>
  </si>
  <si>
    <t>SCS, WWB+C+E, S</t>
  </si>
  <si>
    <t>SCS, WWB+C+E, W</t>
  </si>
  <si>
    <t xml:space="preserve">BFE, WWB+C    </t>
  </si>
  <si>
    <t xml:space="preserve">BFE, NEP+E    </t>
  </si>
  <si>
    <t xml:space="preserve">BFE, POM+C    </t>
  </si>
  <si>
    <t xml:space="preserve">BFE, POM+E    </t>
  </si>
  <si>
    <t xml:space="preserve">BFE, NEP+C    </t>
  </si>
  <si>
    <t>SCS, Nuc, S</t>
  </si>
  <si>
    <t>SCS, Nuc, W</t>
  </si>
  <si>
    <t>Gas (incl. WWB CO2 price)</t>
  </si>
  <si>
    <t>Production costs Wind</t>
  </si>
  <si>
    <t>Production costs Nuclear</t>
  </si>
  <si>
    <t>VSE, min</t>
  </si>
  <si>
    <t>VSE, max</t>
  </si>
  <si>
    <t>Production costs Gas</t>
  </si>
  <si>
    <t>Gas price (p. 33, Fig. 3.4)</t>
  </si>
  <si>
    <t>(CHF2010/GJ)</t>
  </si>
  <si>
    <t>Gas price (CHF2010/GJ)</t>
  </si>
  <si>
    <t>Weidmann: 82% load factor</t>
  </si>
  <si>
    <t>BFE</t>
  </si>
  <si>
    <t>PSI: with CO2 preis</t>
  </si>
  <si>
    <t>SCS, nuclear</t>
  </si>
  <si>
    <t>Gas price</t>
  </si>
  <si>
    <t>(GJ)</t>
  </si>
  <si>
    <t>Europe (GJ)</t>
  </si>
  <si>
    <t>Greenpeace (EUR2010/GJ)</t>
  </si>
  <si>
    <t>Footnote Table 2, p.7 in model updates publication</t>
  </si>
  <si>
    <t>Electricity Demand</t>
  </si>
  <si>
    <t>GDP (real)</t>
  </si>
  <si>
    <t>only for the selected scenarios</t>
  </si>
  <si>
    <t>Investment Costs</t>
  </si>
  <si>
    <t>VSE, Wasser, alt</t>
  </si>
  <si>
    <t>VSE, Kernkraft, alt</t>
  </si>
  <si>
    <t xml:space="preserve">VSE, Szn.1, fossil neu </t>
  </si>
  <si>
    <t>VSE, Szn.1, erneuerbar neu</t>
  </si>
  <si>
    <t xml:space="preserve">VSE, Szn.2, fossil neu </t>
  </si>
  <si>
    <t>VSE, Szn.2, erneuerbar neu</t>
  </si>
  <si>
    <t xml:space="preserve">VSE, Szn.3, fossil neu </t>
  </si>
  <si>
    <t>VSE, Szn.3, erneuerbar neu</t>
  </si>
  <si>
    <t>VSE, Szn.1, neu, Netz+Prod</t>
  </si>
  <si>
    <t>VSE, Szn.1, Netz+Prod</t>
  </si>
  <si>
    <t>VSE, Szn.2, neu, Netz+Prod</t>
  </si>
  <si>
    <t>VSE, Szn.2, Netz+Prod</t>
  </si>
  <si>
    <t>VSE, Szn.3, neu, Netz+Prod</t>
  </si>
  <si>
    <t>VSE, Szn.4, Netz+Prod</t>
  </si>
  <si>
    <t>VSE, Szn.1, neu+alt</t>
  </si>
  <si>
    <t>VSE, Szn.2, neu+alt</t>
  </si>
  <si>
    <t>VSE, Szn.3, neu+alt</t>
  </si>
  <si>
    <t>Bestand (Mrd. CHF; p. 2010)</t>
  </si>
  <si>
    <t>VSE, Szn.1, neu</t>
  </si>
  <si>
    <t>VSE, Szn.2, neu</t>
  </si>
  <si>
    <t>VSE, Szn.3, neu</t>
  </si>
  <si>
    <t>(p. 204)</t>
  </si>
  <si>
    <t>(mm on A4 printout)</t>
  </si>
  <si>
    <t>Capacity, WWB+C</t>
  </si>
  <si>
    <r>
      <t xml:space="preserve">bestehend Wasser, </t>
    </r>
    <r>
      <rPr>
        <b/>
        <sz val="11"/>
        <color theme="1"/>
        <rFont val="Arial"/>
        <family val="2"/>
      </rPr>
      <t>all scenarios</t>
    </r>
  </si>
  <si>
    <r>
      <t xml:space="preserve">bestehend fossil WKK, </t>
    </r>
    <r>
      <rPr>
        <b/>
        <sz val="11"/>
        <color theme="1"/>
        <rFont val="Arial"/>
        <family val="2"/>
      </rPr>
      <t>all scenarios</t>
    </r>
  </si>
  <si>
    <r>
      <t xml:space="preserve">neu fossil WKK, </t>
    </r>
    <r>
      <rPr>
        <b/>
        <sz val="11"/>
        <color theme="1"/>
        <rFont val="Arial"/>
        <family val="2"/>
      </rPr>
      <t>all scenarios</t>
    </r>
  </si>
  <si>
    <r>
      <t xml:space="preserve">bestehend fossil GuD, </t>
    </r>
    <r>
      <rPr>
        <b/>
        <sz val="11"/>
        <color theme="1"/>
        <rFont val="Arial"/>
        <family val="2"/>
      </rPr>
      <t>all scenarios</t>
    </r>
  </si>
  <si>
    <r>
      <t xml:space="preserve">bestehend Kernkraft, </t>
    </r>
    <r>
      <rPr>
        <b/>
        <sz val="11"/>
        <color theme="1"/>
        <rFont val="Arial"/>
        <family val="2"/>
      </rPr>
      <t>all scenarios</t>
    </r>
  </si>
  <si>
    <r>
      <t xml:space="preserve">Wasser neu, </t>
    </r>
    <r>
      <rPr>
        <b/>
        <sz val="11"/>
        <color theme="1"/>
        <rFont val="Arial"/>
        <family val="2"/>
      </rPr>
      <t>variant C</t>
    </r>
  </si>
  <si>
    <r>
      <t xml:space="preserve">Wasser neu, </t>
    </r>
    <r>
      <rPr>
        <b/>
        <sz val="11"/>
        <color theme="1"/>
        <rFont val="Arial"/>
        <family val="2"/>
      </rPr>
      <t>variants C+E &amp; E</t>
    </r>
  </si>
  <si>
    <r>
      <t xml:space="preserve">Erneuerbare neu, </t>
    </r>
    <r>
      <rPr>
        <b/>
        <sz val="11"/>
        <color theme="1"/>
        <rFont val="Arial"/>
        <family val="2"/>
      </rPr>
      <t>variants C+E &amp; E</t>
    </r>
    <r>
      <rPr>
        <sz val="11"/>
        <color theme="1"/>
        <rFont val="Arial"/>
        <family val="2"/>
      </rPr>
      <t xml:space="preserve"> </t>
    </r>
  </si>
  <si>
    <r>
      <t xml:space="preserve">fossil GuD, neu, </t>
    </r>
    <r>
      <rPr>
        <b/>
        <sz val="11"/>
        <color theme="1"/>
        <rFont val="Arial"/>
        <family val="2"/>
      </rPr>
      <t>scenario WWB+C</t>
    </r>
  </si>
  <si>
    <r>
      <t>fossil GuD, neu,</t>
    </r>
    <r>
      <rPr>
        <b/>
        <sz val="11"/>
        <rFont val="Arial"/>
        <family val="2"/>
      </rPr>
      <t xml:space="preserve"> WWB+C+E, NEP+C, POM+C+E</t>
    </r>
  </si>
  <si>
    <r>
      <t xml:space="preserve">fossil GuD, neu, </t>
    </r>
    <r>
      <rPr>
        <b/>
        <sz val="11"/>
        <rFont val="Arial"/>
        <family val="2"/>
      </rPr>
      <t>POM+C</t>
    </r>
  </si>
  <si>
    <r>
      <t>fossil GuD,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neu,</t>
    </r>
    <r>
      <rPr>
        <b/>
        <sz val="11"/>
        <rFont val="Arial"/>
        <family val="2"/>
      </rPr>
      <t xml:space="preserve"> NEP+C+E</t>
    </r>
  </si>
  <si>
    <r>
      <t xml:space="preserve">fossil GuD, neu, </t>
    </r>
    <r>
      <rPr>
        <b/>
        <sz val="11"/>
        <rFont val="Arial"/>
        <family val="2"/>
      </rPr>
      <t>NEP+E &amp; POM+E</t>
    </r>
  </si>
  <si>
    <r>
      <t>Erneuerbare neu,</t>
    </r>
    <r>
      <rPr>
        <b/>
        <sz val="11"/>
        <color theme="1"/>
        <rFont val="Arial"/>
        <family val="2"/>
      </rPr>
      <t xml:space="preserve"> variants C</t>
    </r>
  </si>
  <si>
    <t>GuD units:</t>
  </si>
  <si>
    <r>
      <t>bestehend Erneuerbare,</t>
    </r>
    <r>
      <rPr>
        <b/>
        <sz val="11"/>
        <color theme="1"/>
        <rFont val="Arial"/>
        <family val="2"/>
      </rPr>
      <t xml:space="preserve"> all scenarios</t>
    </r>
  </si>
  <si>
    <t>PV+Wind+Bio+Geo</t>
  </si>
  <si>
    <t>check:</t>
  </si>
  <si>
    <t>Installed Capacity, 2050</t>
  </si>
  <si>
    <t>Run-of-River</t>
  </si>
  <si>
    <t>(BFE web: Topics -&gt; Hydropower)</t>
  </si>
  <si>
    <t>Storage</t>
  </si>
  <si>
    <t>Pumped-Storage</t>
  </si>
  <si>
    <t>Basic Water Flow</t>
  </si>
  <si>
    <t>Small Hydro</t>
  </si>
  <si>
    <t xml:space="preserve">SCS, NEP+E    </t>
  </si>
  <si>
    <t xml:space="preserve">SCS, Nucl         </t>
  </si>
  <si>
    <t>(W/m2 EBF)</t>
  </si>
  <si>
    <t>Wärmeleistungebedarfe (p. 373)</t>
  </si>
  <si>
    <t>WWB, EFH saniert</t>
  </si>
  <si>
    <t>WWB, MFH saniert</t>
  </si>
  <si>
    <t>WWB, EFH neu</t>
  </si>
  <si>
    <t>WWB, MFH neu</t>
  </si>
  <si>
    <t>NEP, EFH saniert</t>
  </si>
  <si>
    <t>NEP, MFH saniert</t>
  </si>
  <si>
    <t>NEP. EFH neu</t>
  </si>
  <si>
    <t>NEP, MFH neu</t>
  </si>
  <si>
    <t>POM, EFH saniert</t>
  </si>
  <si>
    <t>POM, MFH saniert</t>
  </si>
  <si>
    <t>POM, EFH neu</t>
  </si>
  <si>
    <t>POM, MFH neu</t>
  </si>
  <si>
    <t>PSI-elc potential</t>
  </si>
  <si>
    <t>PSI-sys potential</t>
  </si>
  <si>
    <t>PSI-sys max prod.</t>
  </si>
  <si>
    <t>PSI-elc max prod.</t>
  </si>
  <si>
    <t>ETH/ESC potential</t>
  </si>
  <si>
    <t>ETH/ESC max prod.</t>
  </si>
  <si>
    <t>SCS max prod. (all Scn.)</t>
  </si>
  <si>
    <t>SCS max prod. (3 Scn.)</t>
  </si>
  <si>
    <t>SCS potential (3 Scn.)</t>
  </si>
  <si>
    <t>PSI-elc (Rp/KWhEl)</t>
  </si>
  <si>
    <t>PSI-sys (CHF/GJ)</t>
  </si>
  <si>
    <t>PSI-elc</t>
  </si>
  <si>
    <t>PSI-sys</t>
  </si>
  <si>
    <t>VSE</t>
  </si>
  <si>
    <t>VSE (EUR/MWh)</t>
  </si>
  <si>
    <t>Poyry Report, p. 28</t>
  </si>
  <si>
    <t>Increase (Assumption: today 5 Rp/kWhEl)</t>
  </si>
  <si>
    <t>ETH/ESC</t>
  </si>
  <si>
    <t>ETH/ESC, max</t>
  </si>
  <si>
    <t>ETH/ESC, min</t>
  </si>
  <si>
    <t>SCS, Dach</t>
  </si>
  <si>
    <t>SCS, Berg</t>
  </si>
  <si>
    <t>Corrections: PSI numbers with 0.8 add-on</t>
  </si>
  <si>
    <t>2005-2010 (BFE)</t>
  </si>
  <si>
    <t>PSI-elc, WWB+Gas</t>
  </si>
  <si>
    <t>PSI-elc, WWB+Import</t>
  </si>
  <si>
    <t>PSI-elc, WWB+Nuclear</t>
  </si>
  <si>
    <t>PSI-elc, NEP+Gas</t>
  </si>
  <si>
    <t>PSI-elc, NEP+Import</t>
  </si>
  <si>
    <t>PSI-elc, NEP+Nuclear</t>
  </si>
  <si>
    <t>PSI-elc, POM+Gas</t>
  </si>
  <si>
    <t>PSI-elc, POM+Import</t>
  </si>
  <si>
    <t>PSI-elc, POM+Nuclear</t>
  </si>
  <si>
    <t>ETH/ESC, mittel</t>
  </si>
  <si>
    <t>PSI-sys, noClimPol</t>
  </si>
  <si>
    <t>PSI-sys, -50% CO2</t>
  </si>
  <si>
    <t>PSI-elc, WWB+Imp</t>
  </si>
  <si>
    <t>PSI-elc, WWB+Nuc</t>
  </si>
  <si>
    <t>PSI-elc, POM+Imp</t>
  </si>
  <si>
    <t>PSI-elc, POM+Nuc</t>
  </si>
  <si>
    <t>PSI-elc, NEP+Imp</t>
  </si>
  <si>
    <t>PSI-elc, NEP+Nuc</t>
  </si>
  <si>
    <t xml:space="preserve">BFE, NEP+E     </t>
  </si>
  <si>
    <t xml:space="preserve">BFE, NEP+C     </t>
  </si>
  <si>
    <t>ETH/ESC, hoch</t>
  </si>
  <si>
    <t>ETH/ESC, niedrig</t>
  </si>
  <si>
    <t>PSI-sys, noPol</t>
  </si>
  <si>
    <t>PSI-sys, 50%</t>
  </si>
  <si>
    <t>personal car v-km (in mio.)</t>
  </si>
  <si>
    <t>personal car v-km / population</t>
  </si>
  <si>
    <t>(Greenpeace)</t>
  </si>
  <si>
    <t>(Cleantech)</t>
  </si>
  <si>
    <t>ETH/ESC, mittel, W</t>
  </si>
  <si>
    <t>ETH/ESC, mittel, S</t>
  </si>
  <si>
    <t>PSI-elc, POM+GAS, W</t>
  </si>
  <si>
    <t>PSI-elc, POM+GAS, S</t>
  </si>
  <si>
    <t>(Greenpeace = NA)</t>
  </si>
  <si>
    <t>(Cleantech =NA)</t>
  </si>
  <si>
    <t>Energiezukunft (ETH/ESC)</t>
  </si>
  <si>
    <t>Energieperspektiven (BFE)</t>
  </si>
  <si>
    <t>SCS Energiemodell</t>
  </si>
  <si>
    <t>Energie-Spiegel (PSI-elc)</t>
  </si>
  <si>
    <t>N. Weidmann (PSI-sys)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</si>
</sst>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"/>
    <numFmt numFmtId="165" formatCode="0.000"/>
    <numFmt numFmtId="166" formatCode="0.0%"/>
    <numFmt numFmtId="167" formatCode="#,###,##0__;\-#,###,##0__;0__;@__\ "/>
    <numFmt numFmtId="168" formatCode="#,###,##0.0__;\-#,###,##0.0__;0.0__;@__\ "/>
    <numFmt numFmtId="169" formatCode="_-* #,##0.00_-;\-* #,##0.00_-;_-* &quot;-&quot;??_-;_-@_-"/>
    <numFmt numFmtId="170" formatCode="0.0000"/>
    <numFmt numFmtId="171" formatCode="0.00000"/>
  </numFmts>
  <fonts count="5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3" tint="0.39997558519241921"/>
      <name val="Arial"/>
      <family val="2"/>
    </font>
    <font>
      <sz val="11"/>
      <name val="Arial"/>
      <family val="2"/>
    </font>
    <font>
      <sz val="11"/>
      <color theme="4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sz val="11"/>
      <color theme="9"/>
      <name val="Arial"/>
      <family val="2"/>
    </font>
    <font>
      <sz val="11"/>
      <color theme="3"/>
      <name val="Arial"/>
      <family val="2"/>
    </font>
    <font>
      <u/>
      <sz val="11"/>
      <color theme="1"/>
      <name val="Arial"/>
      <family val="2"/>
    </font>
    <font>
      <u/>
      <sz val="11"/>
      <color theme="3"/>
      <name val="Arial"/>
      <family val="2"/>
    </font>
    <font>
      <sz val="28"/>
      <color theme="1"/>
      <name val="Arial"/>
      <family val="2"/>
    </font>
    <font>
      <sz val="24"/>
      <color theme="1"/>
      <name val="Arial"/>
      <family val="2"/>
    </font>
    <font>
      <sz val="9"/>
      <color theme="1"/>
      <name val="Arial"/>
      <family val="2"/>
    </font>
    <font>
      <sz val="11"/>
      <color theme="5" tint="0.39997558519241921"/>
      <name val="Arial"/>
      <family val="2"/>
    </font>
    <font>
      <sz val="11"/>
      <color theme="5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</font>
    <font>
      <b/>
      <sz val="12"/>
      <name val="Arial"/>
    </font>
    <font>
      <sz val="8"/>
      <color indexed="9"/>
      <name val="Arial"/>
    </font>
    <font>
      <b/>
      <sz val="8"/>
      <name val="Arial"/>
    </font>
    <font>
      <sz val="11"/>
      <color rgb="FFFFC000"/>
      <name val="Arial"/>
      <family val="2"/>
    </font>
    <font>
      <sz val="11"/>
      <color theme="0" tint="-0.499984740745262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11"/>
      <color theme="0" tint="-0.34998626667073579"/>
      <name val="Arial"/>
      <family val="2"/>
    </font>
    <font>
      <sz val="8"/>
      <color theme="1"/>
      <name val="Arial"/>
      <family val="2"/>
    </font>
    <font>
      <i/>
      <sz val="11"/>
      <color theme="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1">
    <xf numFmtId="0" fontId="0" fillId="0" borderId="0"/>
    <xf numFmtId="9" fontId="13" fillId="0" borderId="0" applyFont="0" applyFill="0" applyBorder="0" applyAlignment="0" applyProtection="0"/>
    <xf numFmtId="0" fontId="24" fillId="0" borderId="0"/>
    <xf numFmtId="43" fontId="13" fillId="0" borderId="0" applyFont="0" applyFill="0" applyBorder="0" applyAlignment="0" applyProtection="0"/>
    <xf numFmtId="0" fontId="2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40" fillId="20" borderId="9" applyNumberFormat="0" applyAlignment="0" applyProtection="0"/>
    <xf numFmtId="0" fontId="31" fillId="20" borderId="10" applyNumberFormat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8" fillId="7" borderId="10" applyNumberFormat="0" applyAlignment="0" applyProtection="0"/>
    <xf numFmtId="0" fontId="42" fillId="0" borderId="12" applyNumberFormat="0" applyFill="0" applyAlignment="0" applyProtection="0"/>
    <xf numFmtId="0" fontId="33" fillId="0" borderId="0" applyNumberFormat="0" applyFill="0" applyBorder="0" applyAlignment="0" applyProtection="0"/>
    <xf numFmtId="11" fontId="26" fillId="0" borderId="0" applyFont="0" applyFill="0" applyBorder="0" applyAlignment="0" applyProtection="0"/>
    <xf numFmtId="0" fontId="34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6" fillId="22" borderId="17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0" fillId="3" borderId="0" applyNumberFormat="0" applyBorder="0" applyAlignment="0" applyProtection="0"/>
    <xf numFmtId="0" fontId="26" fillId="0" borderId="0"/>
    <xf numFmtId="49" fontId="26" fillId="0" borderId="8" applyFill="0" applyProtection="0">
      <alignment horizontal="righ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49" fontId="26" fillId="0" borderId="8" applyFill="0" applyProtection="0">
      <alignment horizontal="right"/>
    </xf>
    <xf numFmtId="0" fontId="25" fillId="23" borderId="8" applyNumberFormat="0" applyProtection="0">
      <alignment horizontal="right"/>
    </xf>
    <xf numFmtId="0" fontId="27" fillId="23" borderId="0" applyNumberFormat="0" applyBorder="0" applyProtection="0">
      <alignment horizontal="left"/>
    </xf>
    <xf numFmtId="0" fontId="25" fillId="23" borderId="8" applyNumberFormat="0" applyProtection="0">
      <alignment horizontal="left"/>
    </xf>
    <xf numFmtId="0" fontId="26" fillId="0" borderId="8" applyNumberFormat="0" applyFill="0" applyProtection="0">
      <alignment horizontal="right"/>
    </xf>
    <xf numFmtId="0" fontId="45" fillId="24" borderId="0" applyNumberFormat="0" applyBorder="0" applyProtection="0">
      <alignment horizontal="left"/>
    </xf>
    <xf numFmtId="0" fontId="46" fillId="25" borderId="0" applyNumberFormat="0" applyBorder="0" applyProtection="0">
      <alignment horizontal="left"/>
    </xf>
    <xf numFmtId="0" fontId="4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2" fillId="21" borderId="11" applyNumberFormat="0" applyAlignment="0" applyProtection="0"/>
    <xf numFmtId="0" fontId="47" fillId="23" borderId="8" applyNumberFormat="0" applyProtection="0">
      <alignment horizontal="lef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49" fontId="24" fillId="0" borderId="8" applyFill="0" applyProtection="0">
      <alignment horizontal="right"/>
    </xf>
    <xf numFmtId="0" fontId="50" fillId="25" borderId="0" applyNumberFormat="0" applyBorder="0" applyProtection="0">
      <alignment horizontal="left"/>
    </xf>
    <xf numFmtId="0" fontId="49" fillId="24" borderId="0" applyNumberFormat="0" applyBorder="0" applyProtection="0">
      <alignment horizontal="left"/>
    </xf>
    <xf numFmtId="0" fontId="24" fillId="0" borderId="8" applyNumberFormat="0" applyFill="0" applyProtection="0">
      <alignment horizontal="right"/>
    </xf>
    <xf numFmtId="0" fontId="47" fillId="23" borderId="8" applyNumberFormat="0" applyProtection="0">
      <alignment horizontal="left"/>
    </xf>
    <xf numFmtId="0" fontId="48" fillId="23" borderId="0" applyNumberFormat="0" applyBorder="0" applyProtection="0">
      <alignment horizontal="left"/>
    </xf>
    <xf numFmtId="0" fontId="47" fillId="23" borderId="8" applyNumberFormat="0" applyProtection="0">
      <alignment horizontal="right"/>
    </xf>
    <xf numFmtId="49" fontId="24" fillId="0" borderId="8" applyFill="0" applyProtection="0">
      <alignment horizontal="right"/>
    </xf>
    <xf numFmtId="49" fontId="24" fillId="0" borderId="8" applyFill="0" applyProtection="0">
      <alignment horizontal="right"/>
    </xf>
    <xf numFmtId="9" fontId="24" fillId="0" borderId="0" applyFont="0" applyFill="0" applyBorder="0" applyAlignment="0" applyProtection="0"/>
    <xf numFmtId="0" fontId="24" fillId="22" borderId="17" applyNumberFormat="0" applyFont="0" applyAlignment="0" applyProtection="0"/>
    <xf numFmtId="1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/>
    <xf numFmtId="1" fontId="0" fillId="0" borderId="0" xfId="0" applyNumberFormat="1"/>
    <xf numFmtId="0" fontId="0" fillId="0" borderId="0" xfId="0" applyNumberFormat="1"/>
    <xf numFmtId="16" fontId="0" fillId="0" borderId="0" xfId="0" quotePrefix="1" applyNumberFormat="1"/>
    <xf numFmtId="0" fontId="0" fillId="0" borderId="0" xfId="0" applyFont="1"/>
    <xf numFmtId="9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5" fillId="0" borderId="0" xfId="0" applyFont="1"/>
    <xf numFmtId="0" fontId="0" fillId="0" borderId="1" xfId="0" applyBorder="1"/>
    <xf numFmtId="164" fontId="0" fillId="0" borderId="1" xfId="0" applyNumberFormat="1" applyBorder="1"/>
    <xf numFmtId="0" fontId="2" fillId="0" borderId="0" xfId="0" quotePrefix="1" applyFont="1"/>
    <xf numFmtId="0" fontId="8" fillId="0" borderId="0" xfId="0" applyFont="1"/>
    <xf numFmtId="0" fontId="0" fillId="0" borderId="0" xfId="0" applyFill="1"/>
    <xf numFmtId="16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0" fontId="0" fillId="0" borderId="1" xfId="0" applyFont="1" applyBorder="1"/>
    <xf numFmtId="1" fontId="9" fillId="0" borderId="0" xfId="0" applyNumberFormat="1" applyFont="1"/>
    <xf numFmtId="1" fontId="10" fillId="0" borderId="0" xfId="0" applyNumberFormat="1" applyFont="1" applyFill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11" fillId="0" borderId="0" xfId="0" applyFont="1" applyFill="1"/>
    <xf numFmtId="0" fontId="0" fillId="0" borderId="0" xfId="0" applyBorder="1"/>
    <xf numFmtId="164" fontId="0" fillId="0" borderId="0" xfId="0" applyNumberFormat="1" applyBorder="1"/>
    <xf numFmtId="0" fontId="10" fillId="0" borderId="0" xfId="0" applyFont="1" applyBorder="1"/>
    <xf numFmtId="0" fontId="10" fillId="0" borderId="1" xfId="0" applyFont="1" applyBorder="1"/>
    <xf numFmtId="1" fontId="10" fillId="0" borderId="0" xfId="0" applyNumberFormat="1" applyFont="1" applyBorder="1"/>
    <xf numFmtId="164" fontId="9" fillId="0" borderId="0" xfId="0" applyNumberFormat="1" applyFont="1"/>
    <xf numFmtId="9" fontId="0" fillId="0" borderId="0" xfId="1" applyFont="1"/>
    <xf numFmtId="0" fontId="0" fillId="0" borderId="0" xfId="1" applyNumberFormat="1" applyFont="1"/>
    <xf numFmtId="2" fontId="10" fillId="0" borderId="0" xfId="0" applyNumberFormat="1" applyFont="1"/>
    <xf numFmtId="2" fontId="9" fillId="0" borderId="0" xfId="0" applyNumberFormat="1" applyFont="1"/>
    <xf numFmtId="17" fontId="2" fillId="0" borderId="0" xfId="0" applyNumberFormat="1" applyFont="1"/>
    <xf numFmtId="164" fontId="10" fillId="0" borderId="1" xfId="0" applyNumberFormat="1" applyFont="1" applyBorder="1"/>
    <xf numFmtId="164" fontId="10" fillId="0" borderId="2" xfId="0" applyNumberFormat="1" applyFont="1" applyBorder="1"/>
    <xf numFmtId="166" fontId="0" fillId="0" borderId="0" xfId="1" applyNumberFormat="1" applyFont="1"/>
    <xf numFmtId="166" fontId="0" fillId="0" borderId="0" xfId="0" applyNumberFormat="1"/>
    <xf numFmtId="9" fontId="10" fillId="0" borderId="0" xfId="1" applyFont="1"/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0" fontId="2" fillId="0" borderId="0" xfId="0" applyFont="1" applyBorder="1"/>
    <xf numFmtId="166" fontId="2" fillId="0" borderId="0" xfId="0" applyNumberFormat="1" applyFont="1"/>
    <xf numFmtId="165" fontId="2" fillId="0" borderId="0" xfId="0" applyNumberFormat="1" applyFont="1"/>
    <xf numFmtId="0" fontId="11" fillId="0" borderId="0" xfId="0" applyFont="1"/>
    <xf numFmtId="0" fontId="9" fillId="0" borderId="0" xfId="0" applyFont="1"/>
    <xf numFmtId="2" fontId="0" fillId="0" borderId="0" xfId="0" applyNumberFormat="1" applyFont="1"/>
    <xf numFmtId="0" fontId="0" fillId="0" borderId="0" xfId="0" applyNumberFormat="1" applyFont="1"/>
    <xf numFmtId="0" fontId="17" fillId="0" borderId="0" xfId="0" applyFont="1"/>
    <xf numFmtId="0" fontId="18" fillId="0" borderId="0" xfId="0" applyFont="1"/>
    <xf numFmtId="0" fontId="16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9" fillId="0" borderId="0" xfId="0" applyFont="1" applyBorder="1"/>
    <xf numFmtId="1" fontId="10" fillId="0" borderId="1" xfId="0" applyNumberFormat="1" applyFont="1" applyBorder="1"/>
    <xf numFmtId="0" fontId="0" fillId="0" borderId="1" xfId="0" applyFill="1" applyBorder="1"/>
    <xf numFmtId="1" fontId="16" fillId="0" borderId="0" xfId="0" applyNumberFormat="1" applyFont="1" applyBorder="1"/>
    <xf numFmtId="1" fontId="18" fillId="0" borderId="0" xfId="0" applyNumberFormat="1" applyFont="1"/>
    <xf numFmtId="0" fontId="10" fillId="0" borderId="0" xfId="0" applyFont="1" applyFill="1" applyBorder="1"/>
    <xf numFmtId="1" fontId="10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3" fontId="0" fillId="0" borderId="0" xfId="0" applyNumberFormat="1" applyFont="1"/>
    <xf numFmtId="1" fontId="16" fillId="0" borderId="0" xfId="0" applyNumberFormat="1" applyFont="1"/>
    <xf numFmtId="165" fontId="16" fillId="0" borderId="0" xfId="0" applyNumberFormat="1" applyFont="1"/>
    <xf numFmtId="0" fontId="0" fillId="0" borderId="0" xfId="0" quotePrefix="1" applyFont="1"/>
    <xf numFmtId="0" fontId="19" fillId="0" borderId="0" xfId="0" applyFont="1"/>
    <xf numFmtId="164" fontId="2" fillId="0" borderId="1" xfId="0" applyNumberFormat="1" applyFont="1" applyBorder="1"/>
    <xf numFmtId="10" fontId="0" fillId="0" borderId="0" xfId="0" applyNumberFormat="1"/>
    <xf numFmtId="0" fontId="20" fillId="0" borderId="0" xfId="0" applyFont="1"/>
    <xf numFmtId="3" fontId="0" fillId="0" borderId="0" xfId="0" applyNumberFormat="1"/>
    <xf numFmtId="9" fontId="0" fillId="0" borderId="1" xfId="1" applyFont="1" applyBorder="1"/>
    <xf numFmtId="0" fontId="9" fillId="0" borderId="1" xfId="0" applyFont="1" applyBorder="1"/>
    <xf numFmtId="2" fontId="0" fillId="0" borderId="1" xfId="0" applyNumberFormat="1" applyBorder="1"/>
    <xf numFmtId="2" fontId="10" fillId="0" borderId="1" xfId="0" applyNumberFormat="1" applyFont="1" applyBorder="1"/>
    <xf numFmtId="9" fontId="0" fillId="0" borderId="0" xfId="1" applyFont="1" applyBorder="1"/>
    <xf numFmtId="2" fontId="0" fillId="0" borderId="0" xfId="0" applyNumberFormat="1" applyBorder="1"/>
    <xf numFmtId="0" fontId="0" fillId="0" borderId="3" xfId="0" applyFont="1" applyBorder="1"/>
    <xf numFmtId="0" fontId="0" fillId="0" borderId="3" xfId="0" applyBorder="1"/>
    <xf numFmtId="9" fontId="0" fillId="0" borderId="3" xfId="1" applyFont="1" applyBorder="1"/>
    <xf numFmtId="2" fontId="10" fillId="0" borderId="3" xfId="0" applyNumberFormat="1" applyFont="1" applyBorder="1"/>
    <xf numFmtId="2" fontId="0" fillId="0" borderId="4" xfId="0" applyNumberFormat="1" applyBorder="1"/>
    <xf numFmtId="2" fontId="9" fillId="0" borderId="1" xfId="0" applyNumberFormat="1" applyFont="1" applyBorder="1"/>
    <xf numFmtId="164" fontId="0" fillId="0" borderId="0" xfId="0" applyNumberFormat="1" applyFont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10" fillId="0" borderId="6" xfId="0" applyFont="1" applyBorder="1"/>
    <xf numFmtId="0" fontId="10" fillId="0" borderId="7" xfId="0" applyFont="1" applyBorder="1"/>
    <xf numFmtId="0" fontId="2" fillId="0" borderId="6" xfId="0" applyFont="1" applyBorder="1"/>
    <xf numFmtId="0" fontId="5" fillId="0" borderId="6" xfId="0" applyFont="1" applyBorder="1"/>
    <xf numFmtId="0" fontId="10" fillId="0" borderId="0" xfId="1" applyNumberFormat="1" applyFont="1"/>
    <xf numFmtId="0" fontId="21" fillId="0" borderId="1" xfId="0" applyFont="1" applyBorder="1"/>
    <xf numFmtId="165" fontId="5" fillId="0" borderId="0" xfId="0" applyNumberFormat="1" applyFont="1"/>
    <xf numFmtId="165" fontId="0" fillId="0" borderId="3" xfId="0" applyNumberFormat="1" applyBorder="1"/>
    <xf numFmtId="0" fontId="21" fillId="0" borderId="0" xfId="0" applyFont="1" applyBorder="1"/>
    <xf numFmtId="164" fontId="22" fillId="0" borderId="0" xfId="0" applyNumberFormat="1" applyFont="1"/>
    <xf numFmtId="164" fontId="22" fillId="0" borderId="1" xfId="0" applyNumberFormat="1" applyFont="1" applyBorder="1"/>
    <xf numFmtId="0" fontId="22" fillId="0" borderId="0" xfId="0" applyFont="1"/>
    <xf numFmtId="164" fontId="9" fillId="0" borderId="1" xfId="0" applyNumberFormat="1" applyFont="1" applyBorder="1"/>
    <xf numFmtId="164" fontId="23" fillId="0" borderId="0" xfId="0" applyNumberFormat="1" applyFont="1"/>
    <xf numFmtId="0" fontId="16" fillId="0" borderId="0" xfId="0" applyFont="1"/>
    <xf numFmtId="0" fontId="23" fillId="0" borderId="0" xfId="0" applyFont="1"/>
    <xf numFmtId="164" fontId="10" fillId="0" borderId="0" xfId="1" applyNumberFormat="1" applyFont="1" applyBorder="1"/>
    <xf numFmtId="167" fontId="24" fillId="0" borderId="0" xfId="2" applyNumberFormat="1"/>
    <xf numFmtId="168" fontId="24" fillId="0" borderId="0" xfId="2" applyNumberFormat="1"/>
    <xf numFmtId="2" fontId="10" fillId="0" borderId="0" xfId="0" applyNumberFormat="1" applyFont="1" applyBorder="1"/>
    <xf numFmtId="164" fontId="10" fillId="0" borderId="0" xfId="0" applyNumberFormat="1" applyFont="1" applyBorder="1"/>
    <xf numFmtId="1" fontId="0" fillId="0" borderId="0" xfId="0" applyNumberFormat="1" applyBorder="1"/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 applyFill="1" applyBorder="1"/>
    <xf numFmtId="165" fontId="2" fillId="0" borderId="0" xfId="0" applyNumberFormat="1" applyFont="1" applyBorder="1"/>
    <xf numFmtId="0" fontId="5" fillId="0" borderId="0" xfId="0" applyFont="1" applyBorder="1"/>
    <xf numFmtId="0" fontId="26" fillId="0" borderId="0" xfId="0" applyFont="1" applyFill="1" applyBorder="1"/>
    <xf numFmtId="1" fontId="26" fillId="0" borderId="0" xfId="3" applyNumberFormat="1" applyFont="1" applyFill="1" applyBorder="1"/>
    <xf numFmtId="1" fontId="51" fillId="0" borderId="0" xfId="0" applyNumberFormat="1" applyFont="1"/>
    <xf numFmtId="0" fontId="26" fillId="0" borderId="0" xfId="38"/>
    <xf numFmtId="0" fontId="24" fillId="0" borderId="0" xfId="2"/>
    <xf numFmtId="164" fontId="26" fillId="0" borderId="0" xfId="0" applyNumberFormat="1" applyFont="1" applyFill="1" applyBorder="1"/>
    <xf numFmtId="170" fontId="0" fillId="0" borderId="0" xfId="0" applyNumberFormat="1" applyFont="1"/>
    <xf numFmtId="165" fontId="9" fillId="0" borderId="0" xfId="0" applyNumberFormat="1" applyFont="1" applyFill="1" applyBorder="1"/>
    <xf numFmtId="164" fontId="15" fillId="0" borderId="0" xfId="0" applyNumberFormat="1" applyFont="1"/>
    <xf numFmtId="171" fontId="0" fillId="0" borderId="0" xfId="0" applyNumberFormat="1" applyFont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165" fontId="0" fillId="0" borderId="0" xfId="0" applyNumberFormat="1" applyFont="1"/>
    <xf numFmtId="164" fontId="9" fillId="0" borderId="0" xfId="0" applyNumberFormat="1" applyFont="1" applyFill="1" applyBorder="1"/>
    <xf numFmtId="0" fontId="9" fillId="0" borderId="0" xfId="0" applyFont="1" applyFill="1" applyBorder="1"/>
    <xf numFmtId="1" fontId="0" fillId="0" borderId="0" xfId="0" applyNumberFormat="1" applyFont="1"/>
    <xf numFmtId="0" fontId="25" fillId="0" borderId="0" xfId="0" applyFont="1" applyFill="1" applyBorder="1"/>
    <xf numFmtId="2" fontId="24" fillId="0" borderId="0" xfId="0" applyNumberFormat="1" applyFont="1" applyFill="1" applyBorder="1"/>
    <xf numFmtId="0" fontId="2" fillId="0" borderId="0" xfId="249" applyFont="1"/>
    <xf numFmtId="164" fontId="9" fillId="0" borderId="0" xfId="249" applyNumberFormat="1" applyFont="1"/>
    <xf numFmtId="0" fontId="9" fillId="0" borderId="0" xfId="249" applyFont="1"/>
    <xf numFmtId="9" fontId="9" fillId="0" borderId="0" xfId="249" applyNumberFormat="1" applyFont="1"/>
    <xf numFmtId="0" fontId="13" fillId="0" borderId="0" xfId="0" applyFont="1"/>
    <xf numFmtId="164" fontId="13" fillId="0" borderId="0" xfId="249" applyNumberFormat="1" applyFont="1"/>
    <xf numFmtId="0" fontId="13" fillId="0" borderId="0" xfId="249" applyNumberFormat="1" applyFont="1"/>
    <xf numFmtId="0" fontId="13" fillId="0" borderId="0" xfId="249" applyFont="1"/>
    <xf numFmtId="0" fontId="0" fillId="0" borderId="0" xfId="249" applyFont="1"/>
    <xf numFmtId="2" fontId="52" fillId="0" borderId="0" xfId="0" applyNumberFormat="1" applyFont="1"/>
    <xf numFmtId="1" fontId="52" fillId="0" borderId="0" xfId="0" applyNumberFormat="1" applyFont="1"/>
    <xf numFmtId="1" fontId="53" fillId="0" borderId="1" xfId="0" applyNumberFormat="1" applyFont="1" applyBorder="1"/>
    <xf numFmtId="1" fontId="53" fillId="0" borderId="0" xfId="0" applyNumberFormat="1" applyFont="1" applyBorder="1"/>
    <xf numFmtId="164" fontId="10" fillId="0" borderId="0" xfId="249" applyNumberFormat="1" applyFont="1"/>
    <xf numFmtId="164" fontId="54" fillId="0" borderId="0" xfId="0" applyNumberFormat="1" applyFont="1" applyBorder="1"/>
    <xf numFmtId="0" fontId="54" fillId="0" borderId="0" xfId="0" applyFont="1" applyFill="1" applyBorder="1"/>
    <xf numFmtId="0" fontId="55" fillId="0" borderId="0" xfId="0" applyFont="1" applyBorder="1"/>
    <xf numFmtId="0" fontId="56" fillId="0" borderId="0" xfId="0" applyFont="1" applyBorder="1"/>
    <xf numFmtId="0" fontId="14" fillId="0" borderId="0" xfId="0" applyFont="1" applyBorder="1"/>
    <xf numFmtId="0" fontId="52" fillId="0" borderId="0" xfId="0" applyFont="1"/>
    <xf numFmtId="1" fontId="23" fillId="0" borderId="0" xfId="0" applyNumberFormat="1" applyFont="1"/>
    <xf numFmtId="0" fontId="57" fillId="0" borderId="0" xfId="0" applyFont="1"/>
    <xf numFmtId="164" fontId="10" fillId="0" borderId="0" xfId="0" applyNumberFormat="1" applyFont="1" applyFill="1"/>
    <xf numFmtId="2" fontId="0" fillId="0" borderId="0" xfId="0" applyNumberFormat="1" applyFill="1"/>
    <xf numFmtId="2" fontId="0" fillId="0" borderId="1" xfId="0" applyNumberFormat="1" applyFill="1" applyBorder="1"/>
    <xf numFmtId="164" fontId="0" fillId="0" borderId="0" xfId="0" applyNumberFormat="1" applyFill="1"/>
    <xf numFmtId="165" fontId="57" fillId="0" borderId="0" xfId="0" applyNumberFormat="1" applyFont="1"/>
    <xf numFmtId="164" fontId="24" fillId="0" borderId="6" xfId="0" applyNumberFormat="1" applyFont="1" applyFill="1" applyBorder="1"/>
    <xf numFmtId="164" fontId="24" fillId="0" borderId="2" xfId="0" applyNumberFormat="1" applyFont="1" applyFill="1" applyBorder="1"/>
    <xf numFmtId="164" fontId="51" fillId="0" borderId="0" xfId="0" applyNumberFormat="1" applyFont="1"/>
    <xf numFmtId="164" fontId="16" fillId="0" borderId="0" xfId="0" applyNumberFormat="1" applyFont="1"/>
    <xf numFmtId="2" fontId="58" fillId="0" borderId="0" xfId="0" applyNumberFormat="1" applyFont="1"/>
    <xf numFmtId="165" fontId="0" fillId="0" borderId="1" xfId="0" applyNumberFormat="1" applyFill="1" applyBorder="1"/>
  </cellXfs>
  <cellStyles count="251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Akzent1" xfId="23"/>
    <cellStyle name="Akzent2" xfId="24"/>
    <cellStyle name="Akzent3" xfId="25"/>
    <cellStyle name="Akzent4" xfId="26"/>
    <cellStyle name="Akzent5" xfId="27"/>
    <cellStyle name="Akzent6" xfId="28"/>
    <cellStyle name="Ausgabe" xfId="29"/>
    <cellStyle name="Berechnung" xfId="30"/>
    <cellStyle name="Comma" xfId="3" builtinId="3"/>
    <cellStyle name="Comma 2" xfId="32"/>
    <cellStyle name="Comma 3" xfId="31"/>
    <cellStyle name="Comma 4" xfId="248"/>
    <cellStyle name="Eingabe" xfId="33"/>
    <cellStyle name="Ergebnis" xfId="34"/>
    <cellStyle name="Erklärender Text" xfId="35"/>
    <cellStyle name="Float" xfId="36"/>
    <cellStyle name="Float 2" xfId="247"/>
    <cellStyle name="Gut" xfId="37"/>
    <cellStyle name="Normal" xfId="0" builtinId="0"/>
    <cellStyle name="Normal 10" xfId="38"/>
    <cellStyle name="Normal 2" xfId="2"/>
    <cellStyle name="Normal 3" xfId="4"/>
    <cellStyle name="Normal 4" xfId="249"/>
    <cellStyle name="Normal 4 2" xfId="39"/>
    <cellStyle name="Normal 6" xfId="40"/>
    <cellStyle name="Normal 7" xfId="41"/>
    <cellStyle name="Normal 8" xfId="42"/>
    <cellStyle name="Normale_B2020" xfId="43"/>
    <cellStyle name="Notiz" xfId="44"/>
    <cellStyle name="Notiz 2" xfId="246"/>
    <cellStyle name="Percent" xfId="1" builtinId="5"/>
    <cellStyle name="Percent 2" xfId="46"/>
    <cellStyle name="Percent 3" xfId="45"/>
    <cellStyle name="Percent 4" xfId="245"/>
    <cellStyle name="Percent 5" xfId="250"/>
    <cellStyle name="Schlecht" xfId="47"/>
    <cellStyle name="Standard_Sce_D_Extraction" xfId="48"/>
    <cellStyle name="Style 103" xfId="49"/>
    <cellStyle name="Style 103 2" xfId="244"/>
    <cellStyle name="Style 104" xfId="50"/>
    <cellStyle name="Style 104 2" xfId="243"/>
    <cellStyle name="Style 105" xfId="51"/>
    <cellStyle name="Style 105 2" xfId="242"/>
    <cellStyle name="Style 106" xfId="52"/>
    <cellStyle name="Style 106 2" xfId="241"/>
    <cellStyle name="Style 107" xfId="53"/>
    <cellStyle name="Style 107 2" xfId="240"/>
    <cellStyle name="Style 108" xfId="54"/>
    <cellStyle name="Style 108 2" xfId="239"/>
    <cellStyle name="Style 109" xfId="55"/>
    <cellStyle name="Style 109 2" xfId="238"/>
    <cellStyle name="Style 110" xfId="56"/>
    <cellStyle name="Style 110 2" xfId="237"/>
    <cellStyle name="Style 114" xfId="57"/>
    <cellStyle name="Style 114 2" xfId="236"/>
    <cellStyle name="Style 115" xfId="58"/>
    <cellStyle name="Style 115 2" xfId="235"/>
    <cellStyle name="Style 116" xfId="59"/>
    <cellStyle name="Style 116 2" xfId="234"/>
    <cellStyle name="Style 117" xfId="60"/>
    <cellStyle name="Style 117 2" xfId="233"/>
    <cellStyle name="Style 118" xfId="61"/>
    <cellStyle name="Style 118 2" xfId="232"/>
    <cellStyle name="Style 119" xfId="62"/>
    <cellStyle name="Style 119 2" xfId="231"/>
    <cellStyle name="Style 120" xfId="63"/>
    <cellStyle name="Style 120 2" xfId="230"/>
    <cellStyle name="Style 121" xfId="64"/>
    <cellStyle name="Style 121 2" xfId="229"/>
    <cellStyle name="Style 126" xfId="65"/>
    <cellStyle name="Style 126 2" xfId="228"/>
    <cellStyle name="Style 127" xfId="66"/>
    <cellStyle name="Style 127 2" xfId="227"/>
    <cellStyle name="Style 128" xfId="67"/>
    <cellStyle name="Style 128 2" xfId="226"/>
    <cellStyle name="Style 129" xfId="68"/>
    <cellStyle name="Style 129 2" xfId="225"/>
    <cellStyle name="Style 130" xfId="69"/>
    <cellStyle name="Style 130 2" xfId="224"/>
    <cellStyle name="Style 131" xfId="70"/>
    <cellStyle name="Style 131 2" xfId="223"/>
    <cellStyle name="Style 132" xfId="71"/>
    <cellStyle name="Style 132 2" xfId="222"/>
    <cellStyle name="Style 137" xfId="72"/>
    <cellStyle name="Style 137 2" xfId="221"/>
    <cellStyle name="Style 138" xfId="73"/>
    <cellStyle name="Style 138 2" xfId="220"/>
    <cellStyle name="Style 139" xfId="74"/>
    <cellStyle name="Style 139 2" xfId="219"/>
    <cellStyle name="Style 140" xfId="75"/>
    <cellStyle name="Style 140 2" xfId="218"/>
    <cellStyle name="Style 141" xfId="76"/>
    <cellStyle name="Style 141 2" xfId="217"/>
    <cellStyle name="Style 142" xfId="77"/>
    <cellStyle name="Style 142 2" xfId="216"/>
    <cellStyle name="Style 143" xfId="78"/>
    <cellStyle name="Style 143 2" xfId="215"/>
    <cellStyle name="Style 148" xfId="79"/>
    <cellStyle name="Style 148 2" xfId="214"/>
    <cellStyle name="Style 149" xfId="80"/>
    <cellStyle name="Style 149 2" xfId="213"/>
    <cellStyle name="Style 150" xfId="81"/>
    <cellStyle name="Style 150 2" xfId="212"/>
    <cellStyle name="Style 151" xfId="82"/>
    <cellStyle name="Style 151 2" xfId="211"/>
    <cellStyle name="Style 152" xfId="83"/>
    <cellStyle name="Style 152 2" xfId="210"/>
    <cellStyle name="Style 153" xfId="84"/>
    <cellStyle name="Style 153 2" xfId="209"/>
    <cellStyle name="Style 154" xfId="85"/>
    <cellStyle name="Style 154 2" xfId="208"/>
    <cellStyle name="Style 159" xfId="86"/>
    <cellStyle name="Style 159 2" xfId="207"/>
    <cellStyle name="Style 160" xfId="87"/>
    <cellStyle name="Style 160 2" xfId="206"/>
    <cellStyle name="Style 161" xfId="88"/>
    <cellStyle name="Style 161 2" xfId="205"/>
    <cellStyle name="Style 162" xfId="89"/>
    <cellStyle name="Style 162 2" xfId="204"/>
    <cellStyle name="Style 163" xfId="90"/>
    <cellStyle name="Style 163 2" xfId="203"/>
    <cellStyle name="Style 164" xfId="91"/>
    <cellStyle name="Style 164 2" xfId="202"/>
    <cellStyle name="Style 165" xfId="92"/>
    <cellStyle name="Style 165 2" xfId="201"/>
    <cellStyle name="Style 21" xfId="93"/>
    <cellStyle name="Style 21 2" xfId="200"/>
    <cellStyle name="Style 22" xfId="94"/>
    <cellStyle name="Style 22 2" xfId="199"/>
    <cellStyle name="Style 23" xfId="95"/>
    <cellStyle name="Style 23 2" xfId="198"/>
    <cellStyle name="Style 24" xfId="96"/>
    <cellStyle name="Style 24 2" xfId="197"/>
    <cellStyle name="Style 25" xfId="97"/>
    <cellStyle name="Style 25 2" xfId="196"/>
    <cellStyle name="Style 26" xfId="98"/>
    <cellStyle name="Style 26 2" xfId="195"/>
    <cellStyle name="Style 27" xfId="99"/>
    <cellStyle name="Style 27 2" xfId="194"/>
    <cellStyle name="Style 35" xfId="100"/>
    <cellStyle name="Style 35 2" xfId="193"/>
    <cellStyle name="Style 36" xfId="101"/>
    <cellStyle name="Style 36 2" xfId="192"/>
    <cellStyle name="Style 37" xfId="102"/>
    <cellStyle name="Style 37 2" xfId="191"/>
    <cellStyle name="Style 38" xfId="103"/>
    <cellStyle name="Style 38 2" xfId="190"/>
    <cellStyle name="Style 39" xfId="104"/>
    <cellStyle name="Style 39 2" xfId="189"/>
    <cellStyle name="Style 40" xfId="105"/>
    <cellStyle name="Style 40 2" xfId="188"/>
    <cellStyle name="Style 41" xfId="106"/>
    <cellStyle name="Style 41 2" xfId="187"/>
    <cellStyle name="Style 46" xfId="107"/>
    <cellStyle name="Style 46 2" xfId="186"/>
    <cellStyle name="Style 47" xfId="108"/>
    <cellStyle name="Style 47 2" xfId="185"/>
    <cellStyle name="Style 48" xfId="109"/>
    <cellStyle name="Style 48 2" xfId="184"/>
    <cellStyle name="Style 49" xfId="110"/>
    <cellStyle name="Style 49 2" xfId="183"/>
    <cellStyle name="Style 50" xfId="111"/>
    <cellStyle name="Style 50 2" xfId="182"/>
    <cellStyle name="Style 51" xfId="112"/>
    <cellStyle name="Style 51 2" xfId="181"/>
    <cellStyle name="Style 52" xfId="113"/>
    <cellStyle name="Style 52 2" xfId="180"/>
    <cellStyle name="Style 58" xfId="114"/>
    <cellStyle name="Style 58 2" xfId="179"/>
    <cellStyle name="Style 59" xfId="115"/>
    <cellStyle name="Style 59 2" xfId="178"/>
    <cellStyle name="Style 60" xfId="116"/>
    <cellStyle name="Style 60 2" xfId="177"/>
    <cellStyle name="Style 61" xfId="117"/>
    <cellStyle name="Style 61 2" xfId="151"/>
    <cellStyle name="Style 62" xfId="118"/>
    <cellStyle name="Style 62 2" xfId="176"/>
    <cellStyle name="Style 63" xfId="119"/>
    <cellStyle name="Style 63 2" xfId="175"/>
    <cellStyle name="Style 64" xfId="120"/>
    <cellStyle name="Style 64 2" xfId="174"/>
    <cellStyle name="Style 69" xfId="121"/>
    <cellStyle name="Style 69 2" xfId="173"/>
    <cellStyle name="Style 70" xfId="122"/>
    <cellStyle name="Style 70 2" xfId="172"/>
    <cellStyle name="Style 71" xfId="123"/>
    <cellStyle name="Style 71 2" xfId="171"/>
    <cellStyle name="Style 72" xfId="124"/>
    <cellStyle name="Style 72 2" xfId="170"/>
    <cellStyle name="Style 73" xfId="125"/>
    <cellStyle name="Style 73 2" xfId="169"/>
    <cellStyle name="Style 74" xfId="126"/>
    <cellStyle name="Style 74 2" xfId="168"/>
    <cellStyle name="Style 75" xfId="127"/>
    <cellStyle name="Style 75 2" xfId="167"/>
    <cellStyle name="Style 80" xfId="128"/>
    <cellStyle name="Style 80 2" xfId="166"/>
    <cellStyle name="Style 81" xfId="129"/>
    <cellStyle name="Style 81 2" xfId="165"/>
    <cellStyle name="Style 82" xfId="130"/>
    <cellStyle name="Style 82 2" xfId="164"/>
    <cellStyle name="Style 83" xfId="131"/>
    <cellStyle name="Style 83 2" xfId="163"/>
    <cellStyle name="Style 84" xfId="132"/>
    <cellStyle name="Style 84 2" xfId="162"/>
    <cellStyle name="Style 85" xfId="133"/>
    <cellStyle name="Style 85 2" xfId="161"/>
    <cellStyle name="Style 86" xfId="134"/>
    <cellStyle name="Style 86 2" xfId="160"/>
    <cellStyle name="Style 87" xfId="135"/>
    <cellStyle name="Style 87 2" xfId="159"/>
    <cellStyle name="Style 93" xfId="136"/>
    <cellStyle name="Style 93 2" xfId="158"/>
    <cellStyle name="Style 94" xfId="137"/>
    <cellStyle name="Style 94 2" xfId="157"/>
    <cellStyle name="Style 95" xfId="138"/>
    <cellStyle name="Style 95 2" xfId="156"/>
    <cellStyle name="Style 96" xfId="139"/>
    <cellStyle name="Style 96 2" xfId="155"/>
    <cellStyle name="Style 97" xfId="140"/>
    <cellStyle name="Style 97 2" xfId="154"/>
    <cellStyle name="Style 98" xfId="141"/>
    <cellStyle name="Style 98 2" xfId="153"/>
    <cellStyle name="Style 99" xfId="142"/>
    <cellStyle name="Style 99 2" xfId="152"/>
    <cellStyle name="Überschrift" xfId="143"/>
    <cellStyle name="Überschrift 1" xfId="144"/>
    <cellStyle name="Überschrift 2" xfId="145"/>
    <cellStyle name="Überschrift 3" xfId="146"/>
    <cellStyle name="Überschrift 4" xfId="147"/>
    <cellStyle name="Verknüpfte Zelle" xfId="148"/>
    <cellStyle name="Warnender Text" xfId="149"/>
    <cellStyle name="Zelle überprüfen" xfId="150"/>
  </cellStyles>
  <dxfs count="0"/>
  <tableStyles count="0" defaultTableStyle="TableStyleMedium2" defaultPivotStyle="PivotStyleLight16"/>
  <colors>
    <mruColors>
      <color rgb="FFFC0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Household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 devices</a:t>
            </a: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 (Scenario POM)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Sheet1!$C$1322</c:f>
              <c:strCache>
                <c:ptCount val="1"/>
                <c:pt idx="0">
                  <c:v>Light (kWh/m2)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Sheet1!$D$1322:$I$1322</c:f>
              <c:numCache>
                <c:formatCode>General</c:formatCode>
                <c:ptCount val="6"/>
                <c:pt idx="0">
                  <c:v>0.14705882352941169</c:v>
                </c:pt>
                <c:pt idx="1">
                  <c:v>0</c:v>
                </c:pt>
                <c:pt idx="2" formatCode="0.00">
                  <c:v>-0.55882352941176472</c:v>
                </c:pt>
                <c:pt idx="3" formatCode="0.00">
                  <c:v>-0.76470588235294112</c:v>
                </c:pt>
                <c:pt idx="4" formatCode="0.00">
                  <c:v>-0.82352941176470584</c:v>
                </c:pt>
                <c:pt idx="5" formatCode="0.00">
                  <c:v>-0.88235294117647056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Sheet1!$C$1323</c:f>
              <c:strCache>
                <c:ptCount val="1"/>
                <c:pt idx="0">
                  <c:v>Dishwasher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Sheet1!$D$1323:$I$1323</c:f>
              <c:numCache>
                <c:formatCode>General</c:formatCode>
                <c:ptCount val="6"/>
                <c:pt idx="0">
                  <c:v>0.2878851836217815</c:v>
                </c:pt>
                <c:pt idx="1">
                  <c:v>0</c:v>
                </c:pt>
                <c:pt idx="2" formatCode="0.00">
                  <c:v>-0.109328830730266</c:v>
                </c:pt>
                <c:pt idx="3" formatCode="0.00">
                  <c:v>-0.17517940059096659</c:v>
                </c:pt>
                <c:pt idx="4" formatCode="0.00">
                  <c:v>-0.25116082735331358</c:v>
                </c:pt>
                <c:pt idx="5" formatCode="0.00">
                  <c:v>-0.32207682566483753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Sheet1!$C$1324</c:f>
              <c:strCache>
                <c:ptCount val="1"/>
                <c:pt idx="0">
                  <c:v>Fridge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Sheet1!$D$1324:$I$1324</c:f>
              <c:numCache>
                <c:formatCode>General</c:formatCode>
                <c:ptCount val="6"/>
                <c:pt idx="0">
                  <c:v>0.14448818897637783</c:v>
                </c:pt>
                <c:pt idx="1">
                  <c:v>0</c:v>
                </c:pt>
                <c:pt idx="2" formatCode="0.00">
                  <c:v>-0.27322834645669292</c:v>
                </c:pt>
                <c:pt idx="3" formatCode="0.00">
                  <c:v>-0.4216535433070866</c:v>
                </c:pt>
                <c:pt idx="4" formatCode="0.00">
                  <c:v>-0.50511811023622044</c:v>
                </c:pt>
                <c:pt idx="5" formatCode="0.00">
                  <c:v>-0.56811023622047241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Sheet1!$C$1325</c:f>
              <c:strCache>
                <c:ptCount val="1"/>
                <c:pt idx="0">
                  <c:v>Freezer-fridge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Sheet1!$D$1325:$I$1325</c:f>
              <c:numCache>
                <c:formatCode>General</c:formatCode>
                <c:ptCount val="6"/>
                <c:pt idx="0">
                  <c:v>0.1879652605459059</c:v>
                </c:pt>
                <c:pt idx="1">
                  <c:v>0</c:v>
                </c:pt>
                <c:pt idx="2" formatCode="0.00">
                  <c:v>-0.28691066997518599</c:v>
                </c:pt>
                <c:pt idx="3" formatCode="0.00">
                  <c:v>-0.46526054590570709</c:v>
                </c:pt>
                <c:pt idx="4" formatCode="0.00">
                  <c:v>-0.54900744416873448</c:v>
                </c:pt>
                <c:pt idx="5" formatCode="0.00">
                  <c:v>-0.60452853598014888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Sheet1!$C$1326</c:f>
              <c:strCache>
                <c:ptCount val="1"/>
                <c:pt idx="0">
                  <c:v>Freezer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Sheet1!$D$1326:$I$1326</c:f>
              <c:numCache>
                <c:formatCode>General</c:formatCode>
                <c:ptCount val="6"/>
                <c:pt idx="0">
                  <c:v>0.16253951527924126</c:v>
                </c:pt>
                <c:pt idx="1">
                  <c:v>0</c:v>
                </c:pt>
                <c:pt idx="2" formatCode="0.00">
                  <c:v>-0.24736564805057959</c:v>
                </c:pt>
                <c:pt idx="3" formatCode="0.00">
                  <c:v>-0.4876185458377239</c:v>
                </c:pt>
                <c:pt idx="4" formatCode="0.00">
                  <c:v>-0.600895679662803</c:v>
                </c:pt>
                <c:pt idx="5" formatCode="0.00">
                  <c:v>-0.65990516332982097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Sheet1!$C$1327</c:f>
              <c:strCache>
                <c:ptCount val="1"/>
                <c:pt idx="0">
                  <c:v>Freezer upright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Sheet1!$D$1327:$I$1327</c:f>
              <c:numCache>
                <c:formatCode>General</c:formatCode>
                <c:ptCount val="6"/>
                <c:pt idx="0">
                  <c:v>7.950651130911579E-2</c:v>
                </c:pt>
                <c:pt idx="1">
                  <c:v>0</c:v>
                </c:pt>
                <c:pt idx="2" formatCode="0.00">
                  <c:v>-0.17066483893077455</c:v>
                </c:pt>
                <c:pt idx="3" formatCode="0.00">
                  <c:v>-0.32213845099383143</c:v>
                </c:pt>
                <c:pt idx="4" formatCode="0.00">
                  <c:v>-0.4232350925291295</c:v>
                </c:pt>
                <c:pt idx="5" formatCode="0.00">
                  <c:v>-0.49623029472241265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Sheet1!$C$1328</c:f>
              <c:strCache>
                <c:ptCount val="1"/>
                <c:pt idx="0">
                  <c:v>Washing machine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Sheet1!$D$1328:$I$1328</c:f>
              <c:numCache>
                <c:formatCode>General</c:formatCode>
                <c:ptCount val="6"/>
                <c:pt idx="0">
                  <c:v>0.11428571428571432</c:v>
                </c:pt>
                <c:pt idx="1">
                  <c:v>0</c:v>
                </c:pt>
                <c:pt idx="2" formatCode="0.00">
                  <c:v>-7.8571428571428625E-2</c:v>
                </c:pt>
                <c:pt idx="3" formatCode="0.00">
                  <c:v>-0.17571428571428571</c:v>
                </c:pt>
                <c:pt idx="4" formatCode="0.00">
                  <c:v>-0.25809523809523804</c:v>
                </c:pt>
                <c:pt idx="5" formatCode="0.00">
                  <c:v>-0.32809523809523811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Sheet1!$C$1329</c:f>
              <c:strCache>
                <c:ptCount val="1"/>
                <c:pt idx="0">
                  <c:v>Washer-dryer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Sheet1!$D$1329:$I$1329</c:f>
              <c:numCache>
                <c:formatCode>General</c:formatCode>
                <c:ptCount val="6"/>
                <c:pt idx="0">
                  <c:v>9.8831985624438401E-2</c:v>
                </c:pt>
                <c:pt idx="1">
                  <c:v>0</c:v>
                </c:pt>
                <c:pt idx="2" formatCode="0.00">
                  <c:v>-0.31374663072776288</c:v>
                </c:pt>
                <c:pt idx="3" formatCode="0.00">
                  <c:v>-0.3942497753818508</c:v>
                </c:pt>
                <c:pt idx="4" formatCode="0.00">
                  <c:v>-0.45031446540880504</c:v>
                </c:pt>
                <c:pt idx="5" formatCode="0.00">
                  <c:v>-0.49775381850853551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Sheet1!$C$1330</c:f>
              <c:strCache>
                <c:ptCount val="1"/>
                <c:pt idx="0">
                  <c:v>Dryer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Sheet1!$D$1330:$I$1330</c:f>
              <c:numCache>
                <c:formatCode>General</c:formatCode>
                <c:ptCount val="6"/>
                <c:pt idx="0">
                  <c:v>0.12380649267982191</c:v>
                </c:pt>
                <c:pt idx="1">
                  <c:v>0</c:v>
                </c:pt>
                <c:pt idx="2" formatCode="0.00">
                  <c:v>-0.30362826225334172</c:v>
                </c:pt>
                <c:pt idx="3" formatCode="0.00">
                  <c:v>-0.50954805856142582</c:v>
                </c:pt>
                <c:pt idx="4" formatCode="0.00">
                  <c:v>-0.55601527689369834</c:v>
                </c:pt>
                <c:pt idx="5" formatCode="0.00">
                  <c:v>-0.59388924252068742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Sheet1!$C$1331</c:f>
              <c:strCache>
                <c:ptCount val="1"/>
                <c:pt idx="0">
                  <c:v>TV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Sheet1!$D$1331:$I$1331</c:f>
              <c:numCache>
                <c:formatCode>General</c:formatCode>
                <c:ptCount val="6"/>
                <c:pt idx="0">
                  <c:v>-0.10265486725663719</c:v>
                </c:pt>
                <c:pt idx="1">
                  <c:v>0</c:v>
                </c:pt>
                <c:pt idx="2" formatCode="0.00">
                  <c:v>-0.24247787610619465</c:v>
                </c:pt>
                <c:pt idx="3" formatCode="0.00">
                  <c:v>-0.32330383480825953</c:v>
                </c:pt>
                <c:pt idx="4" formatCode="0.00">
                  <c:v>-0.42949852507374631</c:v>
                </c:pt>
                <c:pt idx="5" formatCode="0.00">
                  <c:v>-0.48377581120943958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Sheet1!$C$1332</c:f>
              <c:strCache>
                <c:ptCount val="1"/>
                <c:pt idx="0">
                  <c:v>Computer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Sheet1!$D$1332:$I$1332</c:f>
              <c:numCache>
                <c:formatCode>General</c:formatCode>
                <c:ptCount val="6"/>
                <c:pt idx="1">
                  <c:v>0</c:v>
                </c:pt>
                <c:pt idx="2" formatCode="0.00">
                  <c:v>-0.29069767441860472</c:v>
                </c:pt>
                <c:pt idx="3" formatCode="0.00">
                  <c:v>-0.34366925064599496</c:v>
                </c:pt>
                <c:pt idx="4" formatCode="0.00">
                  <c:v>-0.38242894056847554</c:v>
                </c:pt>
                <c:pt idx="5" formatCode="0.00">
                  <c:v>-0.41602067183462532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Sheet1!$C$1333</c:f>
              <c:strCache>
                <c:ptCount val="1"/>
                <c:pt idx="0">
                  <c:v>Mobile phone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Sheet1!$D$1333:$I$1333</c:f>
              <c:numCache>
                <c:formatCode>General</c:formatCode>
                <c:ptCount val="6"/>
                <c:pt idx="0">
                  <c:v>0.15094339622641506</c:v>
                </c:pt>
                <c:pt idx="1">
                  <c:v>0</c:v>
                </c:pt>
                <c:pt idx="2" formatCode="0.00">
                  <c:v>0.30188679245283034</c:v>
                </c:pt>
                <c:pt idx="3" formatCode="0.00">
                  <c:v>-0.26415094339622636</c:v>
                </c:pt>
                <c:pt idx="4" formatCode="0.00">
                  <c:v>-0.39622641509433953</c:v>
                </c:pt>
                <c:pt idx="5" formatCode="0.00">
                  <c:v>-0.47169811320754718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52608"/>
        <c:axId val="204961664"/>
      </c:lineChart>
      <c:catAx>
        <c:axId val="2048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4961664"/>
        <c:crossesAt val="-1"/>
        <c:auto val="1"/>
        <c:lblAlgn val="ctr"/>
        <c:lblOffset val="100"/>
        <c:noMultiLvlLbl val="0"/>
      </c:catAx>
      <c:valAx>
        <c:axId val="20496166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baseline="0"/>
                  <a:t>Demand reduction </a:t>
                </a:r>
                <a:r>
                  <a:rPr lang="de-CH"/>
                  <a:t>(kWh/year</a:t>
                </a:r>
                <a:r>
                  <a:rPr lang="de-CH" baseline="0"/>
                  <a:t>)</a:t>
                </a:r>
                <a:endParaRPr lang="de-CH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48526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Sheet1!$E$290</c:f>
              <c:strCache>
                <c:ptCount val="1"/>
                <c:pt idx="0">
                  <c:v>ETH/ESC potential</c:v>
                </c:pt>
              </c:strCache>
            </c:strRef>
          </c:tx>
          <c:spPr>
            <a:pattFill prst="dkUpDiag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Sheet1!$F$290:$J$290</c:f>
              <c:numCache>
                <c:formatCode>0.000</c:formatCode>
                <c:ptCount val="5"/>
                <c:pt idx="0" formatCode="0.0">
                  <c:v>6</c:v>
                </c:pt>
                <c:pt idx="1">
                  <c:v>20</c:v>
                </c:pt>
                <c:pt idx="2">
                  <c:v>4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Sheet1!$E$291</c:f>
              <c:strCache>
                <c:ptCount val="1"/>
                <c:pt idx="0">
                  <c:v>ETH/ESC max prod.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Sheet1!$F$291:$J$291</c:f>
              <c:numCache>
                <c:formatCode>0.000</c:formatCode>
                <c:ptCount val="5"/>
                <c:pt idx="0" formatCode="0.0">
                  <c:v>4.0439999999999969</c:v>
                </c:pt>
                <c:pt idx="1">
                  <c:v>14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Sheet1!$E$292</c:f>
              <c:strCache>
                <c:ptCount val="1"/>
                <c:pt idx="0">
                  <c:v>VSE potential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Sheet1!$F$292:$J$292</c:f>
              <c:numCache>
                <c:formatCode>0.000</c:formatCode>
                <c:ptCount val="5"/>
                <c:pt idx="0" formatCode="0.0">
                  <c:v>4.6439999999999984</c:v>
                </c:pt>
                <c:pt idx="1">
                  <c:v>18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Sheet1!$E$293</c:f>
              <c:strCache>
                <c:ptCount val="1"/>
                <c:pt idx="0">
                  <c:v>VSE max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Sheet1!$F$293:$J$293</c:f>
              <c:numCache>
                <c:formatCode>0.000</c:formatCode>
                <c:ptCount val="5"/>
                <c:pt idx="0" formatCode="0.0">
                  <c:v>4.6439999999999984</c:v>
                </c:pt>
                <c:pt idx="1">
                  <c:v>14.18</c:v>
                </c:pt>
                <c:pt idx="2">
                  <c:v>4.04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Sheet1!$E$294</c:f>
              <c:strCache>
                <c:ptCount val="1"/>
                <c:pt idx="0">
                  <c:v>BFE potential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Sheet1!$F$294:$J$294</c:f>
              <c:numCache>
                <c:formatCode>0.000</c:formatCode>
                <c:ptCount val="5"/>
                <c:pt idx="0" formatCode="0.0">
                  <c:v>8.5500000000000007</c:v>
                </c:pt>
                <c:pt idx="1">
                  <c:v>11.036</c:v>
                </c:pt>
                <c:pt idx="2">
                  <c:v>4.2220000000000004</c:v>
                </c:pt>
                <c:pt idx="3">
                  <c:v>2.9510000000000001</c:v>
                </c:pt>
                <c:pt idx="4">
                  <c:v>4.3840000000000003</c:v>
                </c:pt>
              </c:numCache>
            </c:numRef>
          </c:val>
        </c:ser>
        <c:ser>
          <c:idx val="5"/>
          <c:order val="5"/>
          <c:tx>
            <c:strRef>
              <c:f>Sheet1!$E$295</c:f>
              <c:strCache>
                <c:ptCount val="1"/>
                <c:pt idx="0">
                  <c:v>BFE max production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Sheet1!$F$295:$J$295</c:f>
              <c:numCache>
                <c:formatCode>0.000</c:formatCode>
                <c:ptCount val="5"/>
                <c:pt idx="0" formatCode="0.0">
                  <c:v>1.6539999999999964</c:v>
                </c:pt>
                <c:pt idx="1">
                  <c:v>11.12</c:v>
                </c:pt>
                <c:pt idx="2">
                  <c:v>4.26</c:v>
                </c:pt>
                <c:pt idx="3">
                  <c:v>3.7850000000000001</c:v>
                </c:pt>
                <c:pt idx="4">
                  <c:v>4.3899999999999997</c:v>
                </c:pt>
              </c:numCache>
            </c:numRef>
          </c:val>
        </c:ser>
        <c:ser>
          <c:idx val="6"/>
          <c:order val="6"/>
          <c:tx>
            <c:strRef>
              <c:f>Sheet1!$E$296</c:f>
              <c:strCache>
                <c:ptCount val="1"/>
                <c:pt idx="0">
                  <c:v>Greenp. potential</c:v>
                </c:pt>
              </c:strCache>
            </c:strRef>
          </c:tx>
          <c:spPr>
            <a:pattFill prst="dk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Sheet1!$F$296:$J$296</c:f>
              <c:numCache>
                <c:formatCode>0.000</c:formatCode>
                <c:ptCount val="5"/>
                <c:pt idx="0" formatCode="0.0">
                  <c:v>1</c:v>
                </c:pt>
                <c:pt idx="1">
                  <c:v>30</c:v>
                </c:pt>
                <c:pt idx="2">
                  <c:v>4</c:v>
                </c:pt>
                <c:pt idx="3">
                  <c:v>6.4</c:v>
                </c:pt>
                <c:pt idx="4">
                  <c:v>3.8</c:v>
                </c:pt>
              </c:numCache>
            </c:numRef>
          </c:val>
        </c:ser>
        <c:ser>
          <c:idx val="7"/>
          <c:order val="7"/>
          <c:tx>
            <c:strRef>
              <c:f>Sheet1!$E$297</c:f>
              <c:strCache>
                <c:ptCount val="1"/>
                <c:pt idx="0">
                  <c:v>Greenpeace prod.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Sheet1!$F$297:$J$297</c:f>
              <c:numCache>
                <c:formatCode>0.000</c:formatCode>
                <c:ptCount val="5"/>
                <c:pt idx="0" formatCode="0.0">
                  <c:v>1</c:v>
                </c:pt>
                <c:pt idx="1">
                  <c:v>19</c:v>
                </c:pt>
                <c:pt idx="2">
                  <c:v>4</c:v>
                </c:pt>
                <c:pt idx="3">
                  <c:v>6.4</c:v>
                </c:pt>
                <c:pt idx="4">
                  <c:v>3.8</c:v>
                </c:pt>
              </c:numCache>
            </c:numRef>
          </c:val>
        </c:ser>
        <c:ser>
          <c:idx val="8"/>
          <c:order val="8"/>
          <c:tx>
            <c:strRef>
              <c:f>Sheet1!$E$298</c:f>
              <c:strCache>
                <c:ptCount val="1"/>
                <c:pt idx="0">
                  <c:v>Cleantech potential</c:v>
                </c:pt>
              </c:strCache>
            </c:strRef>
          </c:tx>
          <c:spPr>
            <a:pattFill prst="dk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Sheet1!$F$298:$J$298</c:f>
              <c:numCache>
                <c:formatCode>0.000</c:formatCode>
                <c:ptCount val="5"/>
                <c:pt idx="0" formatCode="0.0">
                  <c:v>1.7478000000000002</c:v>
                </c:pt>
                <c:pt idx="1">
                  <c:v>20.45</c:v>
                </c:pt>
                <c:pt idx="2">
                  <c:v>7.11</c:v>
                </c:pt>
                <c:pt idx="3">
                  <c:v>3.69</c:v>
                </c:pt>
                <c:pt idx="4">
                  <c:v>8</c:v>
                </c:pt>
              </c:numCache>
            </c:numRef>
          </c:val>
        </c:ser>
        <c:ser>
          <c:idx val="9"/>
          <c:order val="9"/>
          <c:tx>
            <c:strRef>
              <c:f>Sheet1!$E$299</c:f>
              <c:strCache>
                <c:ptCount val="1"/>
                <c:pt idx="0">
                  <c:v>Cleantech prod.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Sheet1!$F$299:$J$299</c:f>
              <c:numCache>
                <c:formatCode>0.000</c:formatCode>
                <c:ptCount val="5"/>
                <c:pt idx="0" formatCode="0.0">
                  <c:v>1.7478000000000002</c:v>
                </c:pt>
                <c:pt idx="1">
                  <c:v>20.45</c:v>
                </c:pt>
                <c:pt idx="2">
                  <c:v>7.11</c:v>
                </c:pt>
                <c:pt idx="3">
                  <c:v>5.3100000000000005</c:v>
                </c:pt>
                <c:pt idx="4">
                  <c:v>5.88</c:v>
                </c:pt>
              </c:numCache>
            </c:numRef>
          </c:val>
        </c:ser>
        <c:ser>
          <c:idx val="10"/>
          <c:order val="10"/>
          <c:tx>
            <c:strRef>
              <c:f>Sheet1!$E$300</c:f>
              <c:strCache>
                <c:ptCount val="1"/>
                <c:pt idx="0">
                  <c:v>PSI-elc potential</c:v>
                </c:pt>
              </c:strCache>
            </c:strRef>
          </c:tx>
          <c:spPr>
            <a:pattFill prst="dkUpDiag">
              <a:fgClr>
                <a:srgbClr val="00B0F0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Sheet1!$F$300:$J$300</c:f>
              <c:numCache>
                <c:formatCode>0.0</c:formatCode>
                <c:ptCount val="5"/>
                <c:pt idx="0">
                  <c:v>3.3439999999999941</c:v>
                </c:pt>
                <c:pt idx="1">
                  <c:v>9.6999999999999993</c:v>
                </c:pt>
                <c:pt idx="2">
                  <c:v>2.6</c:v>
                </c:pt>
                <c:pt idx="3">
                  <c:v>4.9000000000000004</c:v>
                </c:pt>
                <c:pt idx="4">
                  <c:v>4.4000000000000004</c:v>
                </c:pt>
              </c:numCache>
            </c:numRef>
          </c:val>
        </c:ser>
        <c:ser>
          <c:idx val="11"/>
          <c:order val="11"/>
          <c:tx>
            <c:strRef>
              <c:f>Sheet1!$E$301</c:f>
              <c:strCache>
                <c:ptCount val="1"/>
                <c:pt idx="0">
                  <c:v>PSI-elc max prod.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Sheet1!$F$301:$J$301</c:f>
              <c:numCache>
                <c:formatCode>0.0</c:formatCode>
                <c:ptCount val="5"/>
                <c:pt idx="0">
                  <c:v>3.0340107276820163</c:v>
                </c:pt>
                <c:pt idx="1">
                  <c:v>9.2161754103737223</c:v>
                </c:pt>
                <c:pt idx="2">
                  <c:v>2.4133333333333336</c:v>
                </c:pt>
                <c:pt idx="3">
                  <c:v>4.7670555555555554</c:v>
                </c:pt>
                <c:pt idx="4">
                  <c:v>3.9390873333333332</c:v>
                </c:pt>
              </c:numCache>
            </c:numRef>
          </c:val>
        </c:ser>
        <c:ser>
          <c:idx val="12"/>
          <c:order val="12"/>
          <c:tx>
            <c:strRef>
              <c:f>Sheet1!$E$302</c:f>
              <c:strCache>
                <c:ptCount val="1"/>
                <c:pt idx="0">
                  <c:v>PSI-sys potential</c:v>
                </c:pt>
              </c:strCache>
            </c:strRef>
          </c:tx>
          <c:spPr>
            <a:pattFill prst="dkUpDiag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Sheet1!$F$302:$J$302</c:f>
              <c:numCache>
                <c:formatCode>0.0</c:formatCode>
                <c:ptCount val="5"/>
                <c:pt idx="0">
                  <c:v>3.1439999999999984</c:v>
                </c:pt>
                <c:pt idx="1">
                  <c:v>13.7</c:v>
                </c:pt>
                <c:pt idx="2">
                  <c:v>4.2</c:v>
                </c:pt>
                <c:pt idx="3">
                  <c:v>9.1208333333333336</c:v>
                </c:pt>
              </c:numCache>
            </c:numRef>
          </c:val>
        </c:ser>
        <c:ser>
          <c:idx val="13"/>
          <c:order val="13"/>
          <c:tx>
            <c:strRef>
              <c:f>Sheet1!$E$303</c:f>
              <c:strCache>
                <c:ptCount val="1"/>
                <c:pt idx="0">
                  <c:v>PSI-sys max prod.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Sheet1!$F$303:$J$303</c:f>
              <c:numCache>
                <c:formatCode>0.0</c:formatCode>
                <c:ptCount val="5"/>
                <c:pt idx="0">
                  <c:v>3.1567777777777692</c:v>
                </c:pt>
                <c:pt idx="1">
                  <c:v>13.692388888888885</c:v>
                </c:pt>
                <c:pt idx="2">
                  <c:v>4.1998611111111108</c:v>
                </c:pt>
                <c:pt idx="3">
                  <c:v>3.0591944444444441</c:v>
                </c:pt>
              </c:numCache>
            </c:numRef>
          </c:val>
        </c:ser>
        <c:ser>
          <c:idx val="14"/>
          <c:order val="14"/>
          <c:tx>
            <c:strRef>
              <c:f>Sheet1!$E$304</c:f>
              <c:strCache>
                <c:ptCount val="1"/>
                <c:pt idx="0">
                  <c:v>SCS potential (3 Scn.)</c:v>
                </c:pt>
              </c:strCache>
            </c:strRef>
          </c:tx>
          <c:spPr>
            <a:pattFill prst="dkUpDiag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 w="0">
              <a:noFill/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Sheet1!$F$304:$J$304</c:f>
              <c:numCache>
                <c:formatCode>0.0</c:formatCode>
                <c:ptCount val="5"/>
                <c:pt idx="0">
                  <c:v>1.4339999999999975</c:v>
                </c:pt>
                <c:pt idx="1">
                  <c:v>11.13</c:v>
                </c:pt>
                <c:pt idx="2">
                  <c:v>4.2699999999999996</c:v>
                </c:pt>
                <c:pt idx="3">
                  <c:v>2.81</c:v>
                </c:pt>
                <c:pt idx="4">
                  <c:v>4.42</c:v>
                </c:pt>
              </c:numCache>
            </c:numRef>
          </c:val>
        </c:ser>
        <c:ser>
          <c:idx val="15"/>
          <c:order val="15"/>
          <c:tx>
            <c:strRef>
              <c:f>Sheet1!$E$305</c:f>
              <c:strCache>
                <c:ptCount val="1"/>
                <c:pt idx="0">
                  <c:v>SCS max prod. (3 Scn.)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Sheet1!$F$305:$J$305</c:f>
              <c:numCache>
                <c:formatCode>0.0</c:formatCode>
                <c:ptCount val="5"/>
                <c:pt idx="0">
                  <c:v>1.4339999999999975</c:v>
                </c:pt>
                <c:pt idx="1">
                  <c:v>11.13</c:v>
                </c:pt>
                <c:pt idx="2">
                  <c:v>4.2699999999999996</c:v>
                </c:pt>
                <c:pt idx="3">
                  <c:v>2.81</c:v>
                </c:pt>
                <c:pt idx="4">
                  <c:v>4.42</c:v>
                </c:pt>
              </c:numCache>
            </c:numRef>
          </c:val>
        </c:ser>
        <c:ser>
          <c:idx val="16"/>
          <c:order val="16"/>
          <c:tx>
            <c:strRef>
              <c:f>Sheet1!$E$306</c:f>
              <c:strCache>
                <c:ptCount val="1"/>
                <c:pt idx="0">
                  <c:v>SCS max prod. (all Scn.)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Sheet1!$F$257:$J$257</c:f>
              <c:strCache>
                <c:ptCount val="5"/>
                <c:pt idx="0">
                  <c:v>Hydro (new)</c:v>
                </c:pt>
                <c:pt idx="1">
                  <c:v>PV</c:v>
                </c:pt>
                <c:pt idx="2">
                  <c:v>Wind</c:v>
                </c:pt>
                <c:pt idx="3">
                  <c:v>Biomass</c:v>
                </c:pt>
                <c:pt idx="4">
                  <c:v>Geothermal</c:v>
                </c:pt>
              </c:strCache>
            </c:strRef>
          </c:cat>
          <c:val>
            <c:numRef>
              <c:f>Sheet1!$F$306:$J$306</c:f>
              <c:numCache>
                <c:formatCode>0.000</c:formatCode>
                <c:ptCount val="5"/>
                <c:pt idx="0" formatCode="0.0">
                  <c:v>1.4339999999999975</c:v>
                </c:pt>
                <c:pt idx="1">
                  <c:v>20.65</c:v>
                </c:pt>
                <c:pt idx="2">
                  <c:v>6.75</c:v>
                </c:pt>
                <c:pt idx="3">
                  <c:v>2.81</c:v>
                </c:pt>
                <c:pt idx="4">
                  <c:v>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53536"/>
        <c:axId val="144355328"/>
      </c:barChart>
      <c:catAx>
        <c:axId val="14435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4355328"/>
        <c:crosses val="autoZero"/>
        <c:auto val="1"/>
        <c:lblAlgn val="ctr"/>
        <c:lblOffset val="100"/>
        <c:noMultiLvlLbl val="0"/>
      </c:catAx>
      <c:valAx>
        <c:axId val="14435532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CH" sz="1400"/>
                  <a:t>TWh/year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43535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b="0"/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4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74637216824658537"/>
          <c:y val="2.7504290570946551E-2"/>
          <c:w val="0.25362781202737256"/>
          <c:h val="0.9471592492290352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6697218403255"/>
          <c:y val="5.1400554097404488E-2"/>
          <c:w val="0.74535738588232026"/>
          <c:h val="0.79523549139690874"/>
        </c:manualLayout>
      </c:layout>
      <c:lineChart>
        <c:grouping val="standard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personal car v-km (in mio.)</c:v>
                </c:pt>
              </c:strCache>
            </c:strRef>
          </c:tx>
          <c:marker>
            <c:symbol val="none"/>
          </c:marker>
          <c:cat>
            <c:numRef>
              <c:f>Sheet1!$D$17:$Z$17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Sheet1!$D$20:$Z$20</c:f>
              <c:numCache>
                <c:formatCode>#,###,##0__;\-#,###,##0__;0__;@__\ </c:formatCode>
                <c:ptCount val="23"/>
                <c:pt idx="0">
                  <c:v>2462</c:v>
                </c:pt>
                <c:pt idx="1">
                  <c:v>8973</c:v>
                </c:pt>
                <c:pt idx="2">
                  <c:v>23387</c:v>
                </c:pt>
                <c:pt idx="3">
                  <c:v>32071</c:v>
                </c:pt>
                <c:pt idx="4">
                  <c:v>42649</c:v>
                </c:pt>
                <c:pt idx="5">
                  <c:v>41323.977458258094</c:v>
                </c:pt>
                <c:pt idx="6">
                  <c:v>41682.9729231862</c:v>
                </c:pt>
                <c:pt idx="7">
                  <c:v>42447.935472184821</c:v>
                </c:pt>
                <c:pt idx="8">
                  <c:v>43443.046896446198</c:v>
                </c:pt>
                <c:pt idx="9">
                  <c:v>44405.582466648295</c:v>
                </c:pt>
                <c:pt idx="10">
                  <c:v>45612.684980865335</c:v>
                </c:pt>
                <c:pt idx="11">
                  <c:v>46202.491211481203</c:v>
                </c:pt>
                <c:pt idx="12">
                  <c:v>46837.216355955519</c:v>
                </c:pt>
                <c:pt idx="13">
                  <c:v>47323.005225513603</c:v>
                </c:pt>
                <c:pt idx="14">
                  <c:v>47856.009129435704</c:v>
                </c:pt>
                <c:pt idx="15">
                  <c:v>48039.968518961279</c:v>
                </c:pt>
                <c:pt idx="16">
                  <c:v>48330.898658662438</c:v>
                </c:pt>
                <c:pt idx="17">
                  <c:v>48727.996091082219</c:v>
                </c:pt>
                <c:pt idx="18">
                  <c:v>49466.865041812322</c:v>
                </c:pt>
                <c:pt idx="19">
                  <c:v>50372.877979655226</c:v>
                </c:pt>
                <c:pt idx="20">
                  <c:v>50948.60100446362</c:v>
                </c:pt>
                <c:pt idx="21">
                  <c:v>51575.290634312623</c:v>
                </c:pt>
                <c:pt idx="22">
                  <c:v>52581.901237051621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Sheet1!$C$21</c:f>
              <c:strCache>
                <c:ptCount val="1"/>
                <c:pt idx="0">
                  <c:v>personal car v-km / population</c:v>
                </c:pt>
              </c:strCache>
            </c:strRef>
          </c:tx>
          <c:marker>
            <c:symbol val="none"/>
          </c:marker>
          <c:cat>
            <c:numRef>
              <c:f>Sheet1!$D$17:$Z$17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Sheet1!$D$21:$Z$21</c:f>
              <c:numCache>
                <c:formatCode>#,###,##0.0__;\-#,###,##0.0__;0.0__;@__\ </c:formatCode>
                <c:ptCount val="23"/>
                <c:pt idx="0">
                  <c:v>521.94191223235111</c:v>
                </c:pt>
                <c:pt idx="1">
                  <c:v>1674.0671641791046</c:v>
                </c:pt>
                <c:pt idx="2">
                  <c:v>3776.3604069110288</c:v>
                </c:pt>
                <c:pt idx="3">
                  <c:v>5062.5098658247825</c:v>
                </c:pt>
                <c:pt idx="4">
                  <c:v>6317.4344541549399</c:v>
                </c:pt>
                <c:pt idx="5">
                  <c:v>5851.5969213053095</c:v>
                </c:pt>
                <c:pt idx="6">
                  <c:v>5886.5941142756956</c:v>
                </c:pt>
                <c:pt idx="7">
                  <c:v>5981.9525749978611</c:v>
                </c:pt>
                <c:pt idx="8">
                  <c:v>6098.5219696965423</c:v>
                </c:pt>
                <c:pt idx="9">
                  <c:v>6198.4341801574956</c:v>
                </c:pt>
                <c:pt idx="10">
                  <c:v>6331.5775931240059</c:v>
                </c:pt>
                <c:pt idx="11">
                  <c:v>6367.4877634345657</c:v>
                </c:pt>
                <c:pt idx="12">
                  <c:v>6403.775821158808</c:v>
                </c:pt>
                <c:pt idx="13">
                  <c:v>6426.2636102001088</c:v>
                </c:pt>
                <c:pt idx="14">
                  <c:v>6453.8571592724829</c:v>
                </c:pt>
                <c:pt idx="15">
                  <c:v>6440.4268862206527</c:v>
                </c:pt>
                <c:pt idx="16">
                  <c:v>6436.6198716805102</c:v>
                </c:pt>
                <c:pt idx="17">
                  <c:v>6417.0717842250515</c:v>
                </c:pt>
                <c:pt idx="18">
                  <c:v>6422.7200614776912</c:v>
                </c:pt>
                <c:pt idx="19">
                  <c:v>6469.8347197008543</c:v>
                </c:pt>
                <c:pt idx="20">
                  <c:v>6473.7739522825441</c:v>
                </c:pt>
                <c:pt idx="21">
                  <c:v>6483.6558277790582</c:v>
                </c:pt>
                <c:pt idx="22">
                  <c:v>6540.8021879487924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94560"/>
        <c:axId val="154996096"/>
      </c:lineChart>
      <c:dateAx>
        <c:axId val="1549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996096"/>
        <c:crosses val="autoZero"/>
        <c:auto val="0"/>
        <c:lblOffset val="100"/>
        <c:baseTimeUnit val="days"/>
        <c:majorUnit val="7"/>
        <c:majorTimeUnit val="days"/>
      </c:dateAx>
      <c:valAx>
        <c:axId val="154996096"/>
        <c:scaling>
          <c:orientation val="minMax"/>
          <c:max val="6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CH" sz="1100"/>
                  <a:t>(mio) v-km/year</a:t>
                </a:r>
              </a:p>
            </c:rich>
          </c:tx>
          <c:layout/>
          <c:overlay val="0"/>
        </c:title>
        <c:numFmt formatCode="#,###,##0__;\-#,###,##0__;0__;@__\ " sourceLinked="1"/>
        <c:majorTickMark val="out"/>
        <c:minorTickMark val="none"/>
        <c:tickLblPos val="nextTo"/>
        <c:crossAx val="15499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25815337439256"/>
          <c:y val="6.9060586176727903E-2"/>
          <c:w val="0.53897118058262516"/>
          <c:h val="0.1767716535433070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Sheet1!$C$234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Sheet1!$D$234:$AG$234</c:f>
              <c:numCache>
                <c:formatCode>General</c:formatCode>
                <c:ptCount val="30"/>
                <c:pt idx="2" formatCode="0.0">
                  <c:v>18</c:v>
                </c:pt>
                <c:pt idx="3" formatCode="0.0">
                  <c:v>21</c:v>
                </c:pt>
                <c:pt idx="4" formatCode="0.00">
                  <c:v>15.75</c:v>
                </c:pt>
                <c:pt idx="5" formatCode="0.00">
                  <c:v>18.29</c:v>
                </c:pt>
                <c:pt idx="6" formatCode="0.00">
                  <c:v>16.739999999999998</c:v>
                </c:pt>
                <c:pt idx="7" formatCode="0.00">
                  <c:v>19.869999999999997</c:v>
                </c:pt>
                <c:pt idx="8" formatCode="0.00">
                  <c:v>15.75</c:v>
                </c:pt>
                <c:pt idx="9" formatCode="0.00">
                  <c:v>18.29</c:v>
                </c:pt>
                <c:pt idx="10" formatCode="0.00">
                  <c:v>16.739999999999998</c:v>
                </c:pt>
                <c:pt idx="11" formatCode="0.00">
                  <c:v>19.869999999999997</c:v>
                </c:pt>
                <c:pt idx="12" formatCode="0.00">
                  <c:v>16.739999999999998</c:v>
                </c:pt>
                <c:pt idx="13" formatCode="0.00">
                  <c:v>19.869999999999997</c:v>
                </c:pt>
                <c:pt idx="14" formatCode="0.00">
                  <c:v>15.75</c:v>
                </c:pt>
                <c:pt idx="15" formatCode="0.00">
                  <c:v>18.29</c:v>
                </c:pt>
                <c:pt idx="16" formatCode="0.00">
                  <c:v>16.739999999999998</c:v>
                </c:pt>
                <c:pt idx="17" formatCode="0.00">
                  <c:v>19.869999999999997</c:v>
                </c:pt>
                <c:pt idx="18" formatCode="0.00">
                  <c:v>16.739999999999998</c:v>
                </c:pt>
                <c:pt idx="19" formatCode="0.00">
                  <c:v>19.869999999999997</c:v>
                </c:pt>
              </c:numCache>
            </c:numRef>
          </c:val>
        </c:ser>
        <c:ser>
          <c:idx val="1"/>
          <c:order val="1"/>
          <c:tx>
            <c:strRef>
              <c:f>Sheet1!$C$235</c:f>
              <c:strCache>
                <c:ptCount val="1"/>
                <c:pt idx="0">
                  <c:v>Hydro river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Sheet1!$D$235:$AG$235</c:f>
              <c:numCache>
                <c:formatCode>0.00</c:formatCode>
                <c:ptCount val="30"/>
                <c:pt idx="0">
                  <c:v>5.3710000000000004</c:v>
                </c:pt>
                <c:pt idx="1">
                  <c:v>11.871999999999998</c:v>
                </c:pt>
                <c:pt idx="20" formatCode="0.0">
                  <c:v>7.75</c:v>
                </c:pt>
                <c:pt idx="21" formatCode="0.0">
                  <c:v>18.5</c:v>
                </c:pt>
                <c:pt idx="22">
                  <c:v>5.79</c:v>
                </c:pt>
                <c:pt idx="23">
                  <c:v>10.81</c:v>
                </c:pt>
                <c:pt idx="24">
                  <c:v>5.79</c:v>
                </c:pt>
                <c:pt idx="25">
                  <c:v>10.81</c:v>
                </c:pt>
                <c:pt idx="26">
                  <c:v>5.79</c:v>
                </c:pt>
                <c:pt idx="27">
                  <c:v>10.81</c:v>
                </c:pt>
                <c:pt idx="28">
                  <c:v>8.1647930691309192</c:v>
                </c:pt>
                <c:pt idx="29">
                  <c:v>10.41170693086908</c:v>
                </c:pt>
              </c:numCache>
            </c:numRef>
          </c:val>
        </c:ser>
        <c:ser>
          <c:idx val="2"/>
          <c:order val="2"/>
          <c:tx>
            <c:strRef>
              <c:f>Sheet1!$C$236</c:f>
              <c:strCache>
                <c:ptCount val="1"/>
                <c:pt idx="0">
                  <c:v>Hydro storage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Sheet1!$D$236:$AG$236</c:f>
              <c:numCache>
                <c:formatCode>0.00</c:formatCode>
                <c:ptCount val="30"/>
                <c:pt idx="0">
                  <c:v>9.3010000000000002</c:v>
                </c:pt>
                <c:pt idx="1">
                  <c:v>10.409000000000001</c:v>
                </c:pt>
                <c:pt idx="20" formatCode="0.0">
                  <c:v>7.375</c:v>
                </c:pt>
                <c:pt idx="21" formatCode="0.0">
                  <c:v>0.38750000000000001</c:v>
                </c:pt>
                <c:pt idx="22">
                  <c:v>8.7800000000000011</c:v>
                </c:pt>
                <c:pt idx="23">
                  <c:v>10.999999999999998</c:v>
                </c:pt>
                <c:pt idx="24">
                  <c:v>13.06</c:v>
                </c:pt>
                <c:pt idx="25">
                  <c:v>6.5600000000000005</c:v>
                </c:pt>
                <c:pt idx="26">
                  <c:v>12.92</c:v>
                </c:pt>
                <c:pt idx="27">
                  <c:v>6.47</c:v>
                </c:pt>
                <c:pt idx="28">
                  <c:v>11.195562958569282</c:v>
                </c:pt>
                <c:pt idx="29">
                  <c:v>12.098191135648857</c:v>
                </c:pt>
              </c:numCache>
            </c:numRef>
          </c:val>
        </c:ser>
        <c:ser>
          <c:idx val="4"/>
          <c:order val="3"/>
          <c:tx>
            <c:strRef>
              <c:f>Sheet1!$C$237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Sheet1!$D$237:$AG$237</c:f>
              <c:numCache>
                <c:formatCode>0.00</c:formatCode>
                <c:ptCount val="30"/>
                <c:pt idx="0">
                  <c:v>14.260999999999999</c:v>
                </c:pt>
                <c:pt idx="1">
                  <c:v>12.109000000000002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14.85</c:v>
                </c:pt>
                <c:pt idx="27">
                  <c:v>12.48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4"/>
          <c:tx>
            <c:strRef>
              <c:f>Sheet1!$C$238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Sheet1!$D$238:$AG$238</c:f>
              <c:numCache>
                <c:formatCode>0.00</c:formatCode>
                <c:ptCount val="30"/>
                <c:pt idx="0">
                  <c:v>0.22723200000000002</c:v>
                </c:pt>
                <c:pt idx="1">
                  <c:v>0.61436800000000003</c:v>
                </c:pt>
                <c:pt idx="2" formatCode="0.0">
                  <c:v>4.2</c:v>
                </c:pt>
                <c:pt idx="3" formatCode="0.0">
                  <c:v>9.7999999999999989</c:v>
                </c:pt>
                <c:pt idx="4">
                  <c:v>1.6</c:v>
                </c:pt>
                <c:pt idx="5">
                  <c:v>4.32</c:v>
                </c:pt>
                <c:pt idx="6">
                  <c:v>3</c:v>
                </c:pt>
                <c:pt idx="7">
                  <c:v>8.1199999999999992</c:v>
                </c:pt>
                <c:pt idx="8">
                  <c:v>1.6</c:v>
                </c:pt>
                <c:pt idx="9">
                  <c:v>4.32</c:v>
                </c:pt>
                <c:pt idx="10">
                  <c:v>3</c:v>
                </c:pt>
                <c:pt idx="11">
                  <c:v>8.1199999999999992</c:v>
                </c:pt>
                <c:pt idx="12">
                  <c:v>3</c:v>
                </c:pt>
                <c:pt idx="13">
                  <c:v>8.1199999999999992</c:v>
                </c:pt>
                <c:pt idx="14">
                  <c:v>1.6</c:v>
                </c:pt>
                <c:pt idx="15">
                  <c:v>4.32</c:v>
                </c:pt>
                <c:pt idx="16">
                  <c:v>3</c:v>
                </c:pt>
                <c:pt idx="17">
                  <c:v>8.1199999999999992</c:v>
                </c:pt>
                <c:pt idx="18">
                  <c:v>3</c:v>
                </c:pt>
                <c:pt idx="19">
                  <c:v>8.1199999999999992</c:v>
                </c:pt>
                <c:pt idx="20" formatCode="0.0">
                  <c:v>5</c:v>
                </c:pt>
                <c:pt idx="21" formatCode="0.0">
                  <c:v>8.75</c:v>
                </c:pt>
                <c:pt idx="22">
                  <c:v>3.49</c:v>
                </c:pt>
                <c:pt idx="23">
                  <c:v>7.63</c:v>
                </c:pt>
                <c:pt idx="24">
                  <c:v>3.49</c:v>
                </c:pt>
                <c:pt idx="25">
                  <c:v>7.63</c:v>
                </c:pt>
                <c:pt idx="26">
                  <c:v>0</c:v>
                </c:pt>
                <c:pt idx="27">
                  <c:v>0</c:v>
                </c:pt>
                <c:pt idx="28">
                  <c:v>1.9555729256088137</c:v>
                </c:pt>
                <c:pt idx="29">
                  <c:v>3.3752536918140423</c:v>
                </c:pt>
              </c:numCache>
            </c:numRef>
          </c:val>
        </c:ser>
        <c:ser>
          <c:idx val="6"/>
          <c:order val="5"/>
          <c:tx>
            <c:strRef>
              <c:f>Sheet1!$C$239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Sheet1!$D$239:$AG$239</c:f>
              <c:numCache>
                <c:formatCode>0.00</c:formatCode>
                <c:ptCount val="30"/>
                <c:pt idx="0">
                  <c:v>6.0539999999999997E-2</c:v>
                </c:pt>
                <c:pt idx="1">
                  <c:v>4.0360000000000007E-2</c:v>
                </c:pt>
                <c:pt idx="2" formatCode="0.0">
                  <c:v>2</c:v>
                </c:pt>
                <c:pt idx="3" formatCode="0.0">
                  <c:v>1</c:v>
                </c:pt>
                <c:pt idx="4">
                  <c:v>0.85</c:v>
                </c:pt>
                <c:pt idx="5">
                  <c:v>0.56000000000000005</c:v>
                </c:pt>
                <c:pt idx="6">
                  <c:v>2.56</c:v>
                </c:pt>
                <c:pt idx="7">
                  <c:v>1.7</c:v>
                </c:pt>
                <c:pt idx="8">
                  <c:v>0.85</c:v>
                </c:pt>
                <c:pt idx="9">
                  <c:v>0.56000000000000005</c:v>
                </c:pt>
                <c:pt idx="10">
                  <c:v>2.56</c:v>
                </c:pt>
                <c:pt idx="11">
                  <c:v>1.7</c:v>
                </c:pt>
                <c:pt idx="12">
                  <c:v>2.56</c:v>
                </c:pt>
                <c:pt idx="13">
                  <c:v>1.7</c:v>
                </c:pt>
                <c:pt idx="14">
                  <c:v>0.85</c:v>
                </c:pt>
                <c:pt idx="15">
                  <c:v>0.56000000000000005</c:v>
                </c:pt>
                <c:pt idx="16">
                  <c:v>2.56</c:v>
                </c:pt>
                <c:pt idx="17">
                  <c:v>1.7</c:v>
                </c:pt>
                <c:pt idx="18">
                  <c:v>2.56</c:v>
                </c:pt>
                <c:pt idx="19">
                  <c:v>1.7</c:v>
                </c:pt>
                <c:pt idx="20" formatCode="0.0">
                  <c:v>2.5</c:v>
                </c:pt>
                <c:pt idx="21" formatCode="0.0">
                  <c:v>1.625</c:v>
                </c:pt>
                <c:pt idx="22">
                  <c:v>2.2599999999999998</c:v>
                </c:pt>
                <c:pt idx="23">
                  <c:v>2.0099999999999998</c:v>
                </c:pt>
                <c:pt idx="24">
                  <c:v>2.2599999999999998</c:v>
                </c:pt>
                <c:pt idx="25">
                  <c:v>2.0099999999999998</c:v>
                </c:pt>
                <c:pt idx="26">
                  <c:v>0</c:v>
                </c:pt>
                <c:pt idx="27">
                  <c:v>0</c:v>
                </c:pt>
                <c:pt idx="28">
                  <c:v>0.69056032667160516</c:v>
                </c:pt>
                <c:pt idx="29">
                  <c:v>0.48627019066707838</c:v>
                </c:pt>
              </c:numCache>
            </c:numRef>
          </c:val>
        </c:ser>
        <c:ser>
          <c:idx val="7"/>
          <c:order val="6"/>
          <c:tx>
            <c:strRef>
              <c:f>Sheet1!$C$240</c:f>
              <c:strCache>
                <c:ptCount val="1"/>
                <c:pt idx="0">
                  <c:v>Biomass+Geo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Sheet1!$D$240:$AG$240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Sheet1!$C$241</c:f>
              <c:strCache>
                <c:ptCount val="1"/>
                <c:pt idx="0">
                  <c:v>Geo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Sheet1!$D$241:$AG$241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 formatCode="0.0">
                  <c:v>4</c:v>
                </c:pt>
                <c:pt idx="3" formatCode="0.0">
                  <c:v>0</c:v>
                </c:pt>
                <c:pt idx="4" formatCode="0.00">
                  <c:v>0.21</c:v>
                </c:pt>
                <c:pt idx="5" formatCode="0.00">
                  <c:v>0.21</c:v>
                </c:pt>
                <c:pt idx="6" formatCode="0.00">
                  <c:v>2.19</c:v>
                </c:pt>
                <c:pt idx="7" formatCode="0.00">
                  <c:v>2.19</c:v>
                </c:pt>
                <c:pt idx="8" formatCode="0.00">
                  <c:v>0.21</c:v>
                </c:pt>
                <c:pt idx="9" formatCode="0.00">
                  <c:v>0.21</c:v>
                </c:pt>
                <c:pt idx="10" formatCode="0.00">
                  <c:v>2.19</c:v>
                </c:pt>
                <c:pt idx="11" formatCode="0.00">
                  <c:v>2.19</c:v>
                </c:pt>
                <c:pt idx="12" formatCode="0.00">
                  <c:v>2.19</c:v>
                </c:pt>
                <c:pt idx="13" formatCode="0.00">
                  <c:v>2.19</c:v>
                </c:pt>
                <c:pt idx="14" formatCode="0.00">
                  <c:v>0.21</c:v>
                </c:pt>
                <c:pt idx="15" formatCode="0.00">
                  <c:v>0.21</c:v>
                </c:pt>
                <c:pt idx="16" formatCode="0.00">
                  <c:v>2.19</c:v>
                </c:pt>
                <c:pt idx="17" formatCode="0.00">
                  <c:v>2.19</c:v>
                </c:pt>
                <c:pt idx="18" formatCode="0.00">
                  <c:v>2.19</c:v>
                </c:pt>
                <c:pt idx="19" formatCode="0.00">
                  <c:v>2.19</c:v>
                </c:pt>
                <c:pt idx="20" formatCode="0.0">
                  <c:v>0.6875</c:v>
                </c:pt>
                <c:pt idx="21" formatCode="0.0">
                  <c:v>0.13750000000000001</c:v>
                </c:pt>
                <c:pt idx="22" formatCode="0.00">
                  <c:v>2.2000000000000002</c:v>
                </c:pt>
                <c:pt idx="23" formatCode="0.00">
                  <c:v>2.21</c:v>
                </c:pt>
                <c:pt idx="24" formatCode="0.00">
                  <c:v>2.2000000000000002</c:v>
                </c:pt>
                <c:pt idx="25" formatCode="0.00">
                  <c:v>2.21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9"/>
          <c:order val="8"/>
          <c:tx>
            <c:strRef>
              <c:f>Sheet1!$C$242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Sheet1!$D$242:$AG$242</c:f>
              <c:numCache>
                <c:formatCode>0.00</c:formatCode>
                <c:ptCount val="30"/>
                <c:pt idx="0">
                  <c:v>0.84736730932804094</c:v>
                </c:pt>
                <c:pt idx="1">
                  <c:v>0.78109237095859341</c:v>
                </c:pt>
                <c:pt idx="2" formatCode="0.0">
                  <c:v>5</c:v>
                </c:pt>
                <c:pt idx="3" formatCode="0.0">
                  <c:v>1</c:v>
                </c:pt>
                <c:pt idx="4">
                  <c:v>1.5</c:v>
                </c:pt>
                <c:pt idx="5">
                  <c:v>0.99</c:v>
                </c:pt>
                <c:pt idx="6">
                  <c:v>2.72</c:v>
                </c:pt>
                <c:pt idx="7">
                  <c:v>1.7400000000000002</c:v>
                </c:pt>
                <c:pt idx="8">
                  <c:v>1.5</c:v>
                </c:pt>
                <c:pt idx="9">
                  <c:v>0.99</c:v>
                </c:pt>
                <c:pt idx="10">
                  <c:v>2.72</c:v>
                </c:pt>
                <c:pt idx="11">
                  <c:v>1.7400000000000002</c:v>
                </c:pt>
                <c:pt idx="12">
                  <c:v>2.72</c:v>
                </c:pt>
                <c:pt idx="13">
                  <c:v>1.7400000000000002</c:v>
                </c:pt>
                <c:pt idx="14">
                  <c:v>1.5</c:v>
                </c:pt>
                <c:pt idx="15">
                  <c:v>0.99</c:v>
                </c:pt>
                <c:pt idx="16">
                  <c:v>2.72</c:v>
                </c:pt>
                <c:pt idx="17">
                  <c:v>1.7400000000000002</c:v>
                </c:pt>
                <c:pt idx="18">
                  <c:v>2.72</c:v>
                </c:pt>
                <c:pt idx="19">
                  <c:v>1.7400000000000002</c:v>
                </c:pt>
                <c:pt idx="20" formatCode="0.0">
                  <c:v>6.875</c:v>
                </c:pt>
                <c:pt idx="21" formatCode="0.0">
                  <c:v>0.4375</c:v>
                </c:pt>
                <c:pt idx="22">
                  <c:v>1.31</c:v>
                </c:pt>
                <c:pt idx="23">
                  <c:v>0.45</c:v>
                </c:pt>
                <c:pt idx="24">
                  <c:v>2.1</c:v>
                </c:pt>
                <c:pt idx="25">
                  <c:v>0.71</c:v>
                </c:pt>
                <c:pt idx="26">
                  <c:v>0</c:v>
                </c:pt>
                <c:pt idx="27">
                  <c:v>0</c:v>
                </c:pt>
                <c:pt idx="28">
                  <c:v>1.1211187214611886</c:v>
                </c:pt>
                <c:pt idx="29">
                  <c:v>1.1149923896499272</c:v>
                </c:pt>
              </c:numCache>
            </c:numRef>
          </c:val>
        </c:ser>
        <c:ser>
          <c:idx val="10"/>
          <c:order val="9"/>
          <c:tx>
            <c:strRef>
              <c:f>Sheet1!$C$243</c:f>
              <c:strCache>
                <c:ptCount val="1"/>
                <c:pt idx="0">
                  <c:v>Gas+Net import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Text" lastClr="000000">
                  <a:lumMod val="50000"/>
                  <a:lumOff val="50000"/>
                </a:sysClr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Sheet1!$D$243:$AG$243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9.7999999999999972</c:v>
                </c:pt>
                <c:pt idx="3" formatCode="0.0">
                  <c:v>3.2000000000000028</c:v>
                </c:pt>
              </c:numCache>
            </c:numRef>
          </c:val>
        </c:ser>
        <c:ser>
          <c:idx val="11"/>
          <c:order val="10"/>
          <c:tx>
            <c:strRef>
              <c:f>Sheet1!$C$244</c:f>
              <c:strCache>
                <c:ptCount val="1"/>
                <c:pt idx="0">
                  <c:v>Gas, Fossils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Sheet1!$D$244:$AG$244</c:f>
              <c:numCache>
                <c:formatCode>0.00</c:formatCode>
                <c:ptCount val="30"/>
                <c:pt idx="0">
                  <c:v>0.71995265097816841</c:v>
                </c:pt>
                <c:pt idx="1">
                  <c:v>0.66364316505955756</c:v>
                </c:pt>
                <c:pt idx="4">
                  <c:v>21.54</c:v>
                </c:pt>
                <c:pt idx="5">
                  <c:v>8.9600000000000009</c:v>
                </c:pt>
                <c:pt idx="6">
                  <c:v>14.24</c:v>
                </c:pt>
                <c:pt idx="7">
                  <c:v>1.31</c:v>
                </c:pt>
                <c:pt idx="8">
                  <c:v>11.99</c:v>
                </c:pt>
                <c:pt idx="9">
                  <c:v>1.28</c:v>
                </c:pt>
                <c:pt idx="10">
                  <c:v>4.6900000000000004</c:v>
                </c:pt>
                <c:pt idx="11">
                  <c:v>1.31</c:v>
                </c:pt>
                <c:pt idx="12">
                  <c:v>2.14</c:v>
                </c:pt>
                <c:pt idx="13">
                  <c:v>1.31</c:v>
                </c:pt>
                <c:pt idx="14">
                  <c:v>16.64</c:v>
                </c:pt>
                <c:pt idx="15">
                  <c:v>5.01</c:v>
                </c:pt>
                <c:pt idx="16">
                  <c:v>9.34</c:v>
                </c:pt>
                <c:pt idx="17">
                  <c:v>1.31</c:v>
                </c:pt>
                <c:pt idx="18">
                  <c:v>2.14</c:v>
                </c:pt>
                <c:pt idx="19">
                  <c:v>1.31</c:v>
                </c:pt>
                <c:pt idx="22" formatCode="0.000">
                  <c:v>15.98</c:v>
                </c:pt>
                <c:pt idx="23" formatCode="0.000">
                  <c:v>1.19</c:v>
                </c:pt>
                <c:pt idx="24" formatCode="0.000">
                  <c:v>4.0999999999999996</c:v>
                </c:pt>
                <c:pt idx="25" formatCode="0.000">
                  <c:v>0.92999999999999994</c:v>
                </c:pt>
                <c:pt idx="26" formatCode="0.000">
                  <c:v>1.76</c:v>
                </c:pt>
                <c:pt idx="27" formatCode="0.000">
                  <c:v>1.94</c:v>
                </c:pt>
                <c:pt idx="28">
                  <c:v>12.577972602739717</c:v>
                </c:pt>
                <c:pt idx="29">
                  <c:v>5.9237260273972483</c:v>
                </c:pt>
              </c:numCache>
            </c:numRef>
          </c:val>
        </c:ser>
        <c:ser>
          <c:idx val="12"/>
          <c:order val="11"/>
          <c:tx>
            <c:strRef>
              <c:f>Sheet1!$C$245</c:f>
              <c:strCache>
                <c:ptCount val="1"/>
                <c:pt idx="0">
                  <c:v>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Sheet1!$D$233:$AG$233</c:f>
              <c:strCache>
                <c:ptCount val="30"/>
                <c:pt idx="0">
                  <c:v>2011, W</c:v>
                </c:pt>
                <c:pt idx="1">
                  <c:v>2011, S</c:v>
                </c:pt>
                <c:pt idx="2">
                  <c:v>ETH/ESC, mittel, W</c:v>
                </c:pt>
                <c:pt idx="3">
                  <c:v>ETH/ESC, mittel, S</c:v>
                </c:pt>
                <c:pt idx="4">
                  <c:v>BFE, WWB+C, W</c:v>
                </c:pt>
                <c:pt idx="5">
                  <c:v>BFE, WWB+C, S</c:v>
                </c:pt>
                <c:pt idx="6">
                  <c:v>BFE, WWB+C+E, W</c:v>
                </c:pt>
                <c:pt idx="7">
                  <c:v>BFE, WWB+C+E, S</c:v>
                </c:pt>
                <c:pt idx="8">
                  <c:v>BFE, NEP+C, W</c:v>
                </c:pt>
                <c:pt idx="9">
                  <c:v>BFE, NEP+C, S</c:v>
                </c:pt>
                <c:pt idx="10">
                  <c:v>BFE, NEP+C+E, W</c:v>
                </c:pt>
                <c:pt idx="11">
                  <c:v>BFE, NEP+C+E, S</c:v>
                </c:pt>
                <c:pt idx="12">
                  <c:v>BFE, NEP+E, W</c:v>
                </c:pt>
                <c:pt idx="13">
                  <c:v>BFE, NEP+E, S</c:v>
                </c:pt>
                <c:pt idx="14">
                  <c:v>BFE, POM+C, W</c:v>
                </c:pt>
                <c:pt idx="15">
                  <c:v>BFE, POM+C, S</c:v>
                </c:pt>
                <c:pt idx="16">
                  <c:v>BFE, POM+C+E, W</c:v>
                </c:pt>
                <c:pt idx="17">
                  <c:v>BFE, POM+C+E, S</c:v>
                </c:pt>
                <c:pt idx="18">
                  <c:v>BFE, POM+E, W</c:v>
                </c:pt>
                <c:pt idx="19">
                  <c:v>BFE, POM+E, S</c:v>
                </c:pt>
                <c:pt idx="20">
                  <c:v>Cleantech, W, 2035</c:v>
                </c:pt>
                <c:pt idx="21">
                  <c:v>Cleantech, S, 2035</c:v>
                </c:pt>
                <c:pt idx="22">
                  <c:v>SCS, WWB+C+E, W</c:v>
                </c:pt>
                <c:pt idx="23">
                  <c:v>SCS, WWB+C+E, S</c:v>
                </c:pt>
                <c:pt idx="24">
                  <c:v>SCS, NEP+E, W</c:v>
                </c:pt>
                <c:pt idx="25">
                  <c:v>SCS, NEP+E, S</c:v>
                </c:pt>
                <c:pt idx="26">
                  <c:v>SCS, Nuc, W</c:v>
                </c:pt>
                <c:pt idx="27">
                  <c:v>SCS, Nuc, S</c:v>
                </c:pt>
                <c:pt idx="28">
                  <c:v>PSI-elc, POM+GAS, W</c:v>
                </c:pt>
                <c:pt idx="29">
                  <c:v>PSI-elc, POM+GAS, S</c:v>
                </c:pt>
              </c:strCache>
            </c:strRef>
          </c:cat>
          <c:val>
            <c:numRef>
              <c:f>Sheet1!$D$245:$AG$245</c:f>
              <c:numCache>
                <c:formatCode>0.00</c:formatCode>
                <c:ptCount val="30"/>
                <c:pt idx="0">
                  <c:v>4.2420000000000044</c:v>
                </c:pt>
                <c:pt idx="1">
                  <c:v>-9.7330000000000041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-9.27</c:v>
                </c:pt>
                <c:pt idx="12">
                  <c:v>2.56</c:v>
                </c:pt>
                <c:pt idx="13">
                  <c:v>-9.27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-5.53</c:v>
                </c:pt>
                <c:pt idx="18">
                  <c:v>7.2</c:v>
                </c:pt>
                <c:pt idx="19">
                  <c:v>-5.53</c:v>
                </c:pt>
                <c:pt idx="20" formatCode="0.0">
                  <c:v>7.5</c:v>
                </c:pt>
                <c:pt idx="21" formatCode="0.0">
                  <c:v>2.5</c:v>
                </c:pt>
                <c:pt idx="22">
                  <c:v>3.09</c:v>
                </c:pt>
                <c:pt idx="23">
                  <c:v>0.06</c:v>
                </c:pt>
                <c:pt idx="24">
                  <c:v>9.9999999999999978E-2</c:v>
                </c:pt>
                <c:pt idx="25">
                  <c:v>-3.43</c:v>
                </c:pt>
                <c:pt idx="26">
                  <c:v>-0.46</c:v>
                </c:pt>
                <c:pt idx="27">
                  <c:v>-2.9</c:v>
                </c:pt>
                <c:pt idx="28">
                  <c:v>1.4263986275952192</c:v>
                </c:pt>
                <c:pt idx="29">
                  <c:v>-1.4263986275951765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55027712"/>
        <c:axId val="155029504"/>
      </c:barChart>
      <c:catAx>
        <c:axId val="155027712"/>
        <c:scaling>
          <c:orientation val="minMax"/>
        </c:scaling>
        <c:delete val="0"/>
        <c:axPos val="b"/>
        <c:majorTickMark val="out"/>
        <c:minorTickMark val="none"/>
        <c:tickLblPos val="low"/>
        <c:crossAx val="155029504"/>
        <c:crosses val="autoZero"/>
        <c:auto val="1"/>
        <c:lblAlgn val="ctr"/>
        <c:lblOffset val="100"/>
        <c:noMultiLvlLbl val="0"/>
      </c:catAx>
      <c:valAx>
        <c:axId val="155029504"/>
        <c:scaling>
          <c:orientation val="minMax"/>
          <c:max val="45"/>
          <c:min val="-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Supply 2050 (TWh/winter or  summer)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502771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83831515864491379"/>
          <c:y val="5.3165016571320001E-2"/>
          <c:w val="0.15202300683137349"/>
          <c:h val="0.7792818390998712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Sheet1!$D$396</c:f>
              <c:strCache>
                <c:ptCount val="1"/>
                <c:pt idx="0">
                  <c:v>ETH/ESC, max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Sheet1!$E$396:$M$396</c:f>
              <c:numCache>
                <c:formatCode>0</c:formatCode>
                <c:ptCount val="9"/>
                <c:pt idx="0">
                  <c:v>20</c:v>
                </c:pt>
                <c:pt idx="1">
                  <c:v>18.5</c:v>
                </c:pt>
                <c:pt idx="2">
                  <c:v>17</c:v>
                </c:pt>
                <c:pt idx="3">
                  <c:v>16.333333333333332</c:v>
                </c:pt>
                <c:pt idx="4">
                  <c:v>15.666666666666666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Sheet1!$D$397</c:f>
              <c:strCache>
                <c:ptCount val="1"/>
                <c:pt idx="0">
                  <c:v>ETH/ESC, min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Sheet1!$E$397:$M$397</c:f>
              <c:numCache>
                <c:formatCode>0</c:formatCode>
                <c:ptCount val="9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11.333333333333332</c:v>
                </c:pt>
                <c:pt idx="4">
                  <c:v>10.666666666666666</c:v>
                </c:pt>
                <c:pt idx="5">
                  <c:v>10</c:v>
                </c:pt>
                <c:pt idx="6">
                  <c:v>9.3333333333333321</c:v>
                </c:pt>
                <c:pt idx="7">
                  <c:v>8.6666666666666661</c:v>
                </c:pt>
                <c:pt idx="8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Sheet1!$D$398</c:f>
              <c:strCache>
                <c:ptCount val="1"/>
                <c:pt idx="0">
                  <c:v>VSE, 10% capex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Sheet1!$E$398:$M$398</c:f>
              <c:numCache>
                <c:formatCode>0</c:formatCode>
                <c:ptCount val="9"/>
                <c:pt idx="0">
                  <c:v>20</c:v>
                </c:pt>
                <c:pt idx="1">
                  <c:v>20</c:v>
                </c:pt>
                <c:pt idx="2">
                  <c:v>19.5</c:v>
                </c:pt>
                <c:pt idx="3">
                  <c:v>19</c:v>
                </c:pt>
                <c:pt idx="4">
                  <c:v>18.5</c:v>
                </c:pt>
                <c:pt idx="5">
                  <c:v>18</c:v>
                </c:pt>
                <c:pt idx="6">
                  <c:v>17.666666666666664</c:v>
                </c:pt>
                <c:pt idx="7">
                  <c:v>17.333333333333332</c:v>
                </c:pt>
                <c:pt idx="8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Sheet1!$D$399</c:f>
              <c:strCache>
                <c:ptCount val="1"/>
                <c:pt idx="0">
                  <c:v>VSE, 5% capex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Sheet1!$E$399:$M$399</c:f>
              <c:numCache>
                <c:formatCode>0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13.75</c:v>
                </c:pt>
                <c:pt idx="3">
                  <c:v>13.5</c:v>
                </c:pt>
                <c:pt idx="4">
                  <c:v>13.25</c:v>
                </c:pt>
                <c:pt idx="5">
                  <c:v>13</c:v>
                </c:pt>
                <c:pt idx="6">
                  <c:v>12.666666666666666</c:v>
                </c:pt>
                <c:pt idx="7">
                  <c:v>12.333333333333332</c:v>
                </c:pt>
                <c:pt idx="8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Sheet1!$D$400</c:f>
              <c:strCache>
                <c:ptCount val="1"/>
                <c:pt idx="0">
                  <c:v>BFE, max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x"/>
            <c:size val="5"/>
            <c:spPr>
              <a:ln w="19050">
                <a:solidFill>
                  <a:sysClr val="windowText" lastClr="000000"/>
                </a:solidFill>
                <a:prstDash val="solid"/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Sheet1!$E$400:$M$400</c:f>
              <c:numCache>
                <c:formatCode>General</c:formatCode>
                <c:ptCount val="9"/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Sheet1!$D$401</c:f>
              <c:strCache>
                <c:ptCount val="1"/>
                <c:pt idx="0">
                  <c:v>BFE, min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  <a:prstDash val="sysDash"/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Sheet1!$E$401:$M$401</c:f>
              <c:numCache>
                <c:formatCode>General</c:formatCode>
                <c:ptCount val="9"/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Sheet1!$D$402</c:f>
              <c:strCache>
                <c:ptCount val="1"/>
                <c:pt idx="0">
                  <c:v>Greenpeace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pPr>
              <a:ln w="19050">
                <a:solidFill>
                  <a:schemeClr val="accent3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Sheet1!$E$402:$M$402</c:f>
              <c:numCache>
                <c:formatCode>0</c:formatCode>
                <c:ptCount val="9"/>
                <c:pt idx="0">
                  <c:v>16.541276121872212</c:v>
                </c:pt>
                <c:pt idx="1">
                  <c:v>13.284680476164725</c:v>
                </c:pt>
                <c:pt idx="2">
                  <c:v>10.34176263943665</c:v>
                </c:pt>
                <c:pt idx="3">
                  <c:v>9.5302411663637585</c:v>
                </c:pt>
                <c:pt idx="4">
                  <c:v>9.328277620821396</c:v>
                </c:pt>
                <c:pt idx="5">
                  <c:v>7.8160541823572407</c:v>
                </c:pt>
                <c:pt idx="6" formatCode="0.00">
                  <c:v>6.6031204224737072</c:v>
                </c:pt>
                <c:pt idx="7" formatCode="0.00">
                  <c:v>6.6031204224737072</c:v>
                </c:pt>
                <c:pt idx="8" formatCode="0.00">
                  <c:v>6.6031204224737072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Sheet1!$D$403</c:f>
              <c:strCache>
                <c:ptCount val="1"/>
                <c:pt idx="0">
                  <c:v>(Cleantech)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Sheet1!$E$403:$M$403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9"/>
          <c:order val="8"/>
          <c:tx>
            <c:strRef>
              <c:f>Sheet1!$D$404</c:f>
              <c:strCache>
                <c:ptCount val="1"/>
                <c:pt idx="0">
                  <c:v>PSI-elc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noFill/>
              <a:ln w="25400">
                <a:solidFill>
                  <a:schemeClr val="accent5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Sheet1!$E$404:$M$404</c:f>
              <c:numCache>
                <c:formatCode>0.0</c:formatCode>
                <c:ptCount val="9"/>
                <c:pt idx="0">
                  <c:v>19.5</c:v>
                </c:pt>
                <c:pt idx="4">
                  <c:v>14.45</c:v>
                </c:pt>
                <c:pt idx="8">
                  <c:v>14.45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Sheet1!$D$405</c:f>
              <c:strCache>
                <c:ptCount val="1"/>
                <c:pt idx="0">
                  <c:v>PSI-sys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plus"/>
            <c:size val="7"/>
            <c:spPr>
              <a:noFill/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Sheet1!$E$405:$M$405</c:f>
              <c:numCache>
                <c:formatCode>0.0</c:formatCode>
                <c:ptCount val="9"/>
                <c:pt idx="0">
                  <c:v>20.371312078705735</c:v>
                </c:pt>
                <c:pt idx="1">
                  <c:v>19.097080933917258</c:v>
                </c:pt>
                <c:pt idx="2">
                  <c:v>17.72284978912878</c:v>
                </c:pt>
                <c:pt idx="3">
                  <c:v>16.4486186443403</c:v>
                </c:pt>
                <c:pt idx="4">
                  <c:v>15.074387499551818</c:v>
                </c:pt>
                <c:pt idx="5">
                  <c:v>15.074387499551818</c:v>
                </c:pt>
                <c:pt idx="6">
                  <c:v>15.074387499551818</c:v>
                </c:pt>
                <c:pt idx="7">
                  <c:v>15.074387499551818</c:v>
                </c:pt>
                <c:pt idx="8">
                  <c:v>15.074387499551818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Sheet1!$D$406</c:f>
              <c:strCache>
                <c:ptCount val="1"/>
                <c:pt idx="0">
                  <c:v>SCS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9"/>
            <c:spPr>
              <a:noFill/>
              <a:ln w="25400">
                <a:solidFill>
                  <a:srgbClr val="FFC000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Sheet1!$E$406:$M$406</c:f>
              <c:numCache>
                <c:formatCode>0.0</c:formatCode>
                <c:ptCount val="9"/>
                <c:pt idx="8">
                  <c:v>12.584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Sheet1!$D$407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Sheet1!$E$407:$M$407</c:f>
              <c:numCache>
                <c:formatCode>0</c:formatCode>
                <c:ptCount val="9"/>
                <c:pt idx="0">
                  <c:v>17.773226885796849</c:v>
                </c:pt>
                <c:pt idx="1">
                  <c:v>16.31362690168033</c:v>
                </c:pt>
                <c:pt idx="2">
                  <c:v>15.052435404760905</c:v>
                </c:pt>
                <c:pt idx="3">
                  <c:v>14.76819080967134</c:v>
                </c:pt>
                <c:pt idx="4">
                  <c:v>14.326222050411836</c:v>
                </c:pt>
                <c:pt idx="5">
                  <c:v>13.861305210238632</c:v>
                </c:pt>
                <c:pt idx="6">
                  <c:v>13.418021823586523</c:v>
                </c:pt>
                <c:pt idx="7">
                  <c:v>13.126355156919857</c:v>
                </c:pt>
                <c:pt idx="8">
                  <c:v>13.014167546891725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09152"/>
        <c:axId val="156210688"/>
      </c:lineChart>
      <c:catAx>
        <c:axId val="1562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210688"/>
        <c:crosses val="autoZero"/>
        <c:auto val="1"/>
        <c:lblAlgn val="ctr"/>
        <c:lblOffset val="100"/>
        <c:noMultiLvlLbl val="0"/>
      </c:catAx>
      <c:valAx>
        <c:axId val="15621068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Rp./kWh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5620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88233364920363"/>
          <c:y val="0.16835975968433783"/>
          <c:w val="0.254923988068741"/>
          <c:h val="0.591999863142171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Sheet1!$D$420</c:f>
              <c:strCache>
                <c:ptCount val="1"/>
                <c:pt idx="0">
                  <c:v>ETH/ESC, max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Sheet1!$E$420:$M$420</c:f>
              <c:numCache>
                <c:formatCode>0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Sheet1!$D$421</c:f>
              <c:strCache>
                <c:ptCount val="1"/>
                <c:pt idx="0">
                  <c:v>ETH/ESC, min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square"/>
            <c:size val="6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Sheet1!$E$421:$M$421</c:f>
              <c:numCache>
                <c:formatCode>0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Sheet1!$D$422</c:f>
              <c:strCache>
                <c:ptCount val="1"/>
                <c:pt idx="0">
                  <c:v>VSE, max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Sheet1!$E$422:$M$422</c:f>
              <c:numCache>
                <c:formatCode>0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Sheet1!$D$423</c:f>
              <c:strCache>
                <c:ptCount val="1"/>
                <c:pt idx="0">
                  <c:v>VSE, min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Sheet1!$E$423:$M$423</c:f>
              <c:numCache>
                <c:formatCode>0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Sheet1!$D$424</c:f>
              <c:strCache>
                <c:ptCount val="1"/>
                <c:pt idx="0">
                  <c:v>BFE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  <a:prstDash val="solid"/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Sheet1!$E$424:$M$424</c:f>
              <c:numCache>
                <c:formatCode>General</c:formatCode>
                <c:ptCount val="9"/>
                <c:pt idx="0">
                  <c:v>5.4</c:v>
                </c:pt>
                <c:pt idx="1">
                  <c:v>5.7</c:v>
                </c:pt>
                <c:pt idx="2">
                  <c:v>6</c:v>
                </c:pt>
                <c:pt idx="3">
                  <c:v>6.45</c:v>
                </c:pt>
                <c:pt idx="4">
                  <c:v>6.9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Sheet1!$D$425</c:f>
              <c:strCache>
                <c:ptCount val="1"/>
                <c:pt idx="0">
                  <c:v>(Greenpeace)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pPr>
              <a:ln w="19050">
                <a:solidFill>
                  <a:schemeClr val="accent3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Sheet1!$E$425:$M$425</c:f>
              <c:numCache>
                <c:formatCode>0</c:formatCode>
                <c:ptCount val="9"/>
              </c:numCache>
            </c:numRef>
          </c:val>
          <c:smooth val="0"/>
        </c:ser>
        <c:ser>
          <c:idx val="7"/>
          <c:order val="6"/>
          <c:tx>
            <c:strRef>
              <c:f>Sheet1!$D$426</c:f>
              <c:strCache>
                <c:ptCount val="1"/>
                <c:pt idx="0">
                  <c:v>(Cleantech)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Sheet1!$E$426:$M$426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9"/>
          <c:order val="7"/>
          <c:tx>
            <c:strRef>
              <c:f>Sheet1!$D$427</c:f>
              <c:strCache>
                <c:ptCount val="1"/>
                <c:pt idx="0">
                  <c:v>PSI-elc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Sheet1!$E$427:$M$427</c:f>
              <c:numCache>
                <c:formatCode>0.0</c:formatCode>
                <c:ptCount val="9"/>
                <c:pt idx="0">
                  <c:v>5.9</c:v>
                </c:pt>
                <c:pt idx="8">
                  <c:v>5.9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Sheet1!$D$428</c:f>
              <c:strCache>
                <c:ptCount val="1"/>
                <c:pt idx="0">
                  <c:v>PSI-sys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8"/>
            <c:spPr>
              <a:noFill/>
              <a:ln w="19050">
                <a:solidFill>
                  <a:schemeClr val="accent4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Sheet1!$E$428:$M$428</c:f>
              <c:numCache>
                <c:formatCode>0.0</c:formatCode>
                <c:ptCount val="9"/>
                <c:pt idx="0">
                  <c:v>3.5606095561383029</c:v>
                </c:pt>
                <c:pt idx="8">
                  <c:v>3.5606095561383029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Sheet1!$D$429</c:f>
              <c:strCache>
                <c:ptCount val="1"/>
                <c:pt idx="0">
                  <c:v>SCS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noFill/>
              <a:ln w="25400">
                <a:solidFill>
                  <a:srgbClr val="FFC000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Sheet1!$E$429:$M$429</c:f>
              <c:numCache>
                <c:formatCode>0.0</c:formatCode>
                <c:ptCount val="9"/>
                <c:pt idx="8">
                  <c:v>12.122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27328"/>
        <c:axId val="156629248"/>
      </c:lineChart>
      <c:catAx>
        <c:axId val="1566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629248"/>
        <c:crosses val="autoZero"/>
        <c:auto val="1"/>
        <c:lblAlgn val="ctr"/>
        <c:lblOffset val="100"/>
        <c:noMultiLvlLbl val="0"/>
      </c:catAx>
      <c:valAx>
        <c:axId val="15662924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Rp./kWh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5662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22515791486457"/>
          <c:y val="0.16513123359580054"/>
          <c:w val="0.22333389727913647"/>
          <c:h val="0.630577427821522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5743159973384"/>
          <c:y val="3.9946084174051259E-2"/>
          <c:w val="0.45007483729961262"/>
          <c:h val="0.75421168001250816"/>
        </c:manualLayout>
      </c:layout>
      <c:lineChart>
        <c:grouping val="standard"/>
        <c:varyColors val="0"/>
        <c:ser>
          <c:idx val="0"/>
          <c:order val="0"/>
          <c:tx>
            <c:strRef>
              <c:f>Sheet1!$D$443</c:f>
              <c:strCache>
                <c:ptCount val="1"/>
                <c:pt idx="0">
                  <c:v>ETH/ESC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Sheet1!$E$443:$M$443</c:f>
              <c:numCache>
                <c:formatCode>0</c:formatCode>
                <c:ptCount val="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Sheet1!$D$444</c:f>
              <c:strCache>
                <c:ptCount val="1"/>
                <c:pt idx="0">
                  <c:v>VSE, max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Sheet1!$E$444:$M$444</c:f>
              <c:numCache>
                <c:formatCode>0</c:formatCode>
                <c:ptCount val="9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Sheet1!$D$445</c:f>
              <c:strCache>
                <c:ptCount val="1"/>
                <c:pt idx="0">
                  <c:v>VSE, min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Sheet1!$E$445:$M$445</c:f>
              <c:numCache>
                <c:formatCode>0</c:formatCode>
                <c:ptCount val="9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Sheet1!$D$446</c:f>
              <c:strCache>
                <c:ptCount val="1"/>
                <c:pt idx="0">
                  <c:v>BFE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square"/>
            <c:size val="9"/>
            <c:spPr>
              <a:noFill/>
              <a:ln w="25400">
                <a:solidFill>
                  <a:sysClr val="windowText" lastClr="000000"/>
                </a:solidFill>
                <a:prstDash val="solid"/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Sheet1!$E$446:$M$446</c:f>
              <c:numCache>
                <c:formatCode>General</c:formatCode>
                <c:ptCount val="9"/>
                <c:pt idx="5">
                  <c:v>12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Sheet1!$D$447</c:f>
              <c:strCache>
                <c:ptCount val="1"/>
                <c:pt idx="0">
                  <c:v>(Greenpeace = NA)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Sheet1!$E$447:$M$447</c:f>
              <c:numCache>
                <c:formatCode>0</c:formatCode>
                <c:ptCount val="9"/>
              </c:numCache>
            </c:numRef>
          </c:val>
          <c:smooth val="0"/>
        </c:ser>
        <c:ser>
          <c:idx val="7"/>
          <c:order val="5"/>
          <c:tx>
            <c:strRef>
              <c:f>Sheet1!$D$448</c:f>
              <c:strCache>
                <c:ptCount val="1"/>
                <c:pt idx="0">
                  <c:v>(Cleantech =NA)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Sheet1!$E$448:$M$448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9"/>
          <c:order val="6"/>
          <c:tx>
            <c:strRef>
              <c:f>Sheet1!$D$449</c:f>
              <c:strCache>
                <c:ptCount val="1"/>
                <c:pt idx="0">
                  <c:v>PSI-elc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noFill/>
              <a:ln w="25400">
                <a:solidFill>
                  <a:schemeClr val="accent5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Sheet1!$E$449:$M$449</c:f>
              <c:numCache>
                <c:formatCode>0.0</c:formatCode>
                <c:ptCount val="9"/>
                <c:pt idx="0">
                  <c:v>11.4</c:v>
                </c:pt>
                <c:pt idx="8">
                  <c:v>15.4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Sheet1!$D$450</c:f>
              <c:strCache>
                <c:ptCount val="1"/>
                <c:pt idx="0">
                  <c:v>PSI-sys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noFill/>
              <a:ln w="19050">
                <a:solidFill>
                  <a:schemeClr val="accent4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Sheet1!$E$450:$M$450</c:f>
              <c:numCache>
                <c:formatCode>0.0</c:formatCode>
                <c:ptCount val="9"/>
                <c:pt idx="0">
                  <c:v>8.1</c:v>
                </c:pt>
                <c:pt idx="8">
                  <c:v>11.1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Sheet1!$D$451</c:f>
              <c:strCache>
                <c:ptCount val="1"/>
                <c:pt idx="0">
                  <c:v>SCS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 w="25400">
                <a:solidFill>
                  <a:srgbClr val="FFC000"/>
                </a:solidFill>
              </a:ln>
            </c:spPr>
          </c:marker>
          <c:cat>
            <c:numRef>
              <c:f>Sheet1!$E$395:$M$395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Sheet1!$E$451:$M$451</c:f>
              <c:numCache>
                <c:formatCode>0.0</c:formatCode>
                <c:ptCount val="9"/>
                <c:pt idx="8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25440"/>
        <c:axId val="161327360"/>
      </c:lineChart>
      <c:catAx>
        <c:axId val="1613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1327360"/>
        <c:crosses val="autoZero"/>
        <c:auto val="1"/>
        <c:lblAlgn val="ctr"/>
        <c:lblOffset val="100"/>
        <c:noMultiLvlLbl val="0"/>
      </c:catAx>
      <c:valAx>
        <c:axId val="161327360"/>
        <c:scaling>
          <c:orientation val="minMax"/>
          <c:max val="16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Rp./kWh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6132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384470528544532"/>
          <c:y val="6.1188805555764399E-2"/>
          <c:w val="0.39614482013277746"/>
          <c:h val="0.7263833922096937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Sheet1!$C$1288</c:f>
              <c:strCache>
                <c:ptCount val="1"/>
                <c:pt idx="0">
                  <c:v>WWB, EFH saniert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Sheet1!$D$1288:$J$1288</c:f>
              <c:numCache>
                <c:formatCode>General</c:formatCode>
                <c:ptCount val="7"/>
                <c:pt idx="0">
                  <c:v>60.3</c:v>
                </c:pt>
                <c:pt idx="1">
                  <c:v>48.4</c:v>
                </c:pt>
                <c:pt idx="2">
                  <c:v>42.5</c:v>
                </c:pt>
                <c:pt idx="3">
                  <c:v>36.1</c:v>
                </c:pt>
                <c:pt idx="4">
                  <c:v>33.700000000000003</c:v>
                </c:pt>
                <c:pt idx="5">
                  <c:v>31.7</c:v>
                </c:pt>
                <c:pt idx="6">
                  <c:v>28.7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Sheet1!$C$1289</c:f>
              <c:strCache>
                <c:ptCount val="1"/>
                <c:pt idx="0">
                  <c:v>WWB, MFH saniert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Sheet1!$D$1289:$J$1289</c:f>
              <c:numCache>
                <c:formatCode>General</c:formatCode>
                <c:ptCount val="7"/>
                <c:pt idx="0">
                  <c:v>44.5</c:v>
                </c:pt>
                <c:pt idx="1">
                  <c:v>30.6</c:v>
                </c:pt>
                <c:pt idx="2">
                  <c:v>27.8</c:v>
                </c:pt>
                <c:pt idx="3">
                  <c:v>23.7</c:v>
                </c:pt>
                <c:pt idx="4">
                  <c:v>22.1</c:v>
                </c:pt>
                <c:pt idx="5">
                  <c:v>20.8</c:v>
                </c:pt>
                <c:pt idx="6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Sheet1!$C$1290</c:f>
              <c:strCache>
                <c:ptCount val="1"/>
                <c:pt idx="0">
                  <c:v>WWB, EFH neu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Sheet1!$D$1290:$J$1290</c:f>
              <c:numCache>
                <c:formatCode>General</c:formatCode>
                <c:ptCount val="7"/>
                <c:pt idx="0">
                  <c:v>57.6</c:v>
                </c:pt>
                <c:pt idx="1">
                  <c:v>32.299999999999997</c:v>
                </c:pt>
                <c:pt idx="2">
                  <c:v>28.4</c:v>
                </c:pt>
                <c:pt idx="3">
                  <c:v>24.1</c:v>
                </c:pt>
                <c:pt idx="4">
                  <c:v>22.5</c:v>
                </c:pt>
                <c:pt idx="5">
                  <c:v>21.1</c:v>
                </c:pt>
                <c:pt idx="6">
                  <c:v>19.100000000000001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Sheet1!$C$1291</c:f>
              <c:strCache>
                <c:ptCount val="1"/>
                <c:pt idx="0">
                  <c:v>WWB, MFH neu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Sheet1!$D$1291:$J$1291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21.1</c:v>
                </c:pt>
                <c:pt idx="2">
                  <c:v>18.600000000000001</c:v>
                </c:pt>
                <c:pt idx="3">
                  <c:v>15.8</c:v>
                </c:pt>
                <c:pt idx="4">
                  <c:v>14.7</c:v>
                </c:pt>
                <c:pt idx="5">
                  <c:v>13.8</c:v>
                </c:pt>
                <c:pt idx="6">
                  <c:v>12.5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Sheet1!$C$1292</c:f>
              <c:strCache>
                <c:ptCount val="1"/>
                <c:pt idx="0">
                  <c:v>NEP, EFH saniert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Sheet1!$D$1292:$J$1292</c:f>
              <c:numCache>
                <c:formatCode>General</c:formatCode>
                <c:ptCount val="7"/>
                <c:pt idx="0">
                  <c:v>60.3</c:v>
                </c:pt>
                <c:pt idx="1">
                  <c:v>48.4</c:v>
                </c:pt>
                <c:pt idx="2">
                  <c:v>27.3</c:v>
                </c:pt>
                <c:pt idx="3">
                  <c:v>13</c:v>
                </c:pt>
                <c:pt idx="4">
                  <c:v>12.7</c:v>
                </c:pt>
                <c:pt idx="5">
                  <c:v>12.5</c:v>
                </c:pt>
                <c:pt idx="6">
                  <c:v>12.1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Sheet1!$C$1293</c:f>
              <c:strCache>
                <c:ptCount val="1"/>
                <c:pt idx="0">
                  <c:v>NEP, MFH saniert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Sheet1!$D$1293:$J$1293</c:f>
              <c:numCache>
                <c:formatCode>General</c:formatCode>
                <c:ptCount val="7"/>
                <c:pt idx="0">
                  <c:v>44.5</c:v>
                </c:pt>
                <c:pt idx="1">
                  <c:v>30.6</c:v>
                </c:pt>
                <c:pt idx="2">
                  <c:v>15.3</c:v>
                </c:pt>
                <c:pt idx="3">
                  <c:v>10.199999999999999</c:v>
                </c:pt>
                <c:pt idx="4">
                  <c:v>9.9</c:v>
                </c:pt>
                <c:pt idx="5">
                  <c:v>9.6999999999999993</c:v>
                </c:pt>
                <c:pt idx="6">
                  <c:v>9.4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Sheet1!$C$1294</c:f>
              <c:strCache>
                <c:ptCount val="1"/>
                <c:pt idx="0">
                  <c:v>NEP. EFH neu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Sheet1!$D$1294:$J$1294</c:f>
              <c:numCache>
                <c:formatCode>General</c:formatCode>
                <c:ptCount val="7"/>
                <c:pt idx="0">
                  <c:v>57.6</c:v>
                </c:pt>
                <c:pt idx="1">
                  <c:v>32.299999999999997</c:v>
                </c:pt>
                <c:pt idx="2">
                  <c:v>17.100000000000001</c:v>
                </c:pt>
                <c:pt idx="3">
                  <c:v>8.6999999999999993</c:v>
                </c:pt>
                <c:pt idx="4">
                  <c:v>8.5</c:v>
                </c:pt>
                <c:pt idx="5">
                  <c:v>8.3000000000000007</c:v>
                </c:pt>
                <c:pt idx="6">
                  <c:v>8.1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Sheet1!$C$1295</c:f>
              <c:strCache>
                <c:ptCount val="1"/>
                <c:pt idx="0">
                  <c:v>NEP, MFH neu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Sheet1!$D$1295:$J$1295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21.1</c:v>
                </c:pt>
                <c:pt idx="2">
                  <c:v>9.5</c:v>
                </c:pt>
                <c:pt idx="3">
                  <c:v>6.8</c:v>
                </c:pt>
                <c:pt idx="4">
                  <c:v>6.6</c:v>
                </c:pt>
                <c:pt idx="5">
                  <c:v>6.5</c:v>
                </c:pt>
                <c:pt idx="6">
                  <c:v>6.3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Sheet1!$C$1296</c:f>
              <c:strCache>
                <c:ptCount val="1"/>
                <c:pt idx="0">
                  <c:v>POM, EFH saniert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Sheet1!$D$1296:$J$1296</c:f>
              <c:numCache>
                <c:formatCode>General</c:formatCode>
                <c:ptCount val="7"/>
                <c:pt idx="0">
                  <c:v>60.3</c:v>
                </c:pt>
                <c:pt idx="1">
                  <c:v>48.4</c:v>
                </c:pt>
                <c:pt idx="2">
                  <c:v>32.799999999999997</c:v>
                </c:pt>
                <c:pt idx="3">
                  <c:v>22.7</c:v>
                </c:pt>
                <c:pt idx="4">
                  <c:v>20</c:v>
                </c:pt>
                <c:pt idx="5">
                  <c:v>19.5</c:v>
                </c:pt>
                <c:pt idx="6">
                  <c:v>16.8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Sheet1!$C$1297</c:f>
              <c:strCache>
                <c:ptCount val="1"/>
                <c:pt idx="0">
                  <c:v>POM, MFH saniert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Sheet1!$D$1297:$J$1297</c:f>
              <c:numCache>
                <c:formatCode>General</c:formatCode>
                <c:ptCount val="7"/>
                <c:pt idx="0">
                  <c:v>44.5</c:v>
                </c:pt>
                <c:pt idx="1">
                  <c:v>30.6</c:v>
                </c:pt>
                <c:pt idx="2">
                  <c:v>19.8</c:v>
                </c:pt>
                <c:pt idx="3">
                  <c:v>14.6</c:v>
                </c:pt>
                <c:pt idx="4">
                  <c:v>12.7</c:v>
                </c:pt>
                <c:pt idx="5">
                  <c:v>12.4</c:v>
                </c:pt>
                <c:pt idx="6">
                  <c:v>10.9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Sheet1!$C$1298</c:f>
              <c:strCache>
                <c:ptCount val="1"/>
                <c:pt idx="0">
                  <c:v>POM, EFH neu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Sheet1!$D$1298:$J$1298</c:f>
              <c:numCache>
                <c:formatCode>General</c:formatCode>
                <c:ptCount val="7"/>
                <c:pt idx="0">
                  <c:v>57.6</c:v>
                </c:pt>
                <c:pt idx="1">
                  <c:v>32.299999999999997</c:v>
                </c:pt>
                <c:pt idx="2">
                  <c:v>23</c:v>
                </c:pt>
                <c:pt idx="3">
                  <c:v>9.9</c:v>
                </c:pt>
                <c:pt idx="4">
                  <c:v>9.3000000000000007</c:v>
                </c:pt>
                <c:pt idx="5">
                  <c:v>9.1</c:v>
                </c:pt>
                <c:pt idx="6">
                  <c:v>8.3000000000000007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Sheet1!$C$1299</c:f>
              <c:strCache>
                <c:ptCount val="1"/>
                <c:pt idx="0">
                  <c:v>POM, MFH neu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Sheet1!$D$1299:$J$1299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21.1</c:v>
                </c:pt>
                <c:pt idx="2">
                  <c:v>14.4</c:v>
                </c:pt>
                <c:pt idx="3">
                  <c:v>8.1</c:v>
                </c:pt>
                <c:pt idx="4">
                  <c:v>6.7</c:v>
                </c:pt>
                <c:pt idx="5">
                  <c:v>6.5</c:v>
                </c:pt>
                <c:pt idx="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5520"/>
        <c:axId val="163230464"/>
      </c:lineChart>
      <c:catAx>
        <c:axId val="1631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230464"/>
        <c:crosses val="autoZero"/>
        <c:auto val="1"/>
        <c:lblAlgn val="ctr"/>
        <c:lblOffset val="100"/>
        <c:noMultiLvlLbl val="0"/>
      </c:catAx>
      <c:valAx>
        <c:axId val="16323046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Watt / m2 EBF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195520"/>
        <c:crosses val="autoZero"/>
        <c:crossBetween val="between"/>
      </c:valAx>
    </c:plotArea>
    <c:legend>
      <c:legendPos val="r"/>
      <c:layout/>
      <c:overlay val="0"/>
      <c:spPr>
        <a:ln w="12700"/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93997843292845"/>
          <c:y val="4.2561450935799237E-2"/>
          <c:w val="0.80649827862426282"/>
          <c:h val="0.85966058057456718"/>
        </c:manualLayout>
      </c:layout>
      <c:lineChart>
        <c:grouping val="standard"/>
        <c:varyColors val="0"/>
        <c:ser>
          <c:idx val="1"/>
          <c:order val="0"/>
          <c:tx>
            <c:strRef>
              <c:f>Sheet1!$C$1289</c:f>
              <c:strCache>
                <c:ptCount val="1"/>
                <c:pt idx="0">
                  <c:v>WWB, MFH saniert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Sheet1!$D$1289:$J$1289</c:f>
              <c:numCache>
                <c:formatCode>General</c:formatCode>
                <c:ptCount val="7"/>
                <c:pt idx="0">
                  <c:v>44.5</c:v>
                </c:pt>
                <c:pt idx="1">
                  <c:v>30.6</c:v>
                </c:pt>
                <c:pt idx="2">
                  <c:v>27.8</c:v>
                </c:pt>
                <c:pt idx="3">
                  <c:v>23.7</c:v>
                </c:pt>
                <c:pt idx="4">
                  <c:v>22.1</c:v>
                </c:pt>
                <c:pt idx="5">
                  <c:v>20.8</c:v>
                </c:pt>
                <c:pt idx="6">
                  <c:v>18.8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Sheet1!$C$1291</c:f>
              <c:strCache>
                <c:ptCount val="1"/>
                <c:pt idx="0">
                  <c:v>WWB, MFH neu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Sheet1!$D$1291:$J$1291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21.1</c:v>
                </c:pt>
                <c:pt idx="2">
                  <c:v>18.600000000000001</c:v>
                </c:pt>
                <c:pt idx="3">
                  <c:v>15.8</c:v>
                </c:pt>
                <c:pt idx="4">
                  <c:v>14.7</c:v>
                </c:pt>
                <c:pt idx="5">
                  <c:v>13.8</c:v>
                </c:pt>
                <c:pt idx="6">
                  <c:v>12.5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Sheet1!$C$1293</c:f>
              <c:strCache>
                <c:ptCount val="1"/>
                <c:pt idx="0">
                  <c:v>NEP, MFH saniert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Sheet1!$D$1293:$J$1293</c:f>
              <c:numCache>
                <c:formatCode>General</c:formatCode>
                <c:ptCount val="7"/>
                <c:pt idx="0">
                  <c:v>44.5</c:v>
                </c:pt>
                <c:pt idx="1">
                  <c:v>30.6</c:v>
                </c:pt>
                <c:pt idx="2">
                  <c:v>15.3</c:v>
                </c:pt>
                <c:pt idx="3">
                  <c:v>10.199999999999999</c:v>
                </c:pt>
                <c:pt idx="4">
                  <c:v>9.9</c:v>
                </c:pt>
                <c:pt idx="5">
                  <c:v>9.6999999999999993</c:v>
                </c:pt>
                <c:pt idx="6">
                  <c:v>9.4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Sheet1!$C$1295</c:f>
              <c:strCache>
                <c:ptCount val="1"/>
                <c:pt idx="0">
                  <c:v>NEP, MFH neu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Sheet1!$D$1295:$J$1295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21.1</c:v>
                </c:pt>
                <c:pt idx="2">
                  <c:v>9.5</c:v>
                </c:pt>
                <c:pt idx="3">
                  <c:v>6.8</c:v>
                </c:pt>
                <c:pt idx="4">
                  <c:v>6.6</c:v>
                </c:pt>
                <c:pt idx="5">
                  <c:v>6.5</c:v>
                </c:pt>
                <c:pt idx="6">
                  <c:v>6.3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Sheet1!$C$1297</c:f>
              <c:strCache>
                <c:ptCount val="1"/>
                <c:pt idx="0">
                  <c:v>POM, MFH saniert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Sheet1!$D$1297:$J$1297</c:f>
              <c:numCache>
                <c:formatCode>General</c:formatCode>
                <c:ptCount val="7"/>
                <c:pt idx="0">
                  <c:v>44.5</c:v>
                </c:pt>
                <c:pt idx="1">
                  <c:v>30.6</c:v>
                </c:pt>
                <c:pt idx="2">
                  <c:v>19.8</c:v>
                </c:pt>
                <c:pt idx="3">
                  <c:v>14.6</c:v>
                </c:pt>
                <c:pt idx="4">
                  <c:v>12.7</c:v>
                </c:pt>
                <c:pt idx="5">
                  <c:v>12.4</c:v>
                </c:pt>
                <c:pt idx="6">
                  <c:v>10.9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Sheet1!$C$1299</c:f>
              <c:strCache>
                <c:ptCount val="1"/>
                <c:pt idx="0">
                  <c:v>POM, MFH neu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Sheet1!$D$1299:$J$1299</c:f>
              <c:numCache>
                <c:formatCode>General</c:formatCode>
                <c:ptCount val="7"/>
                <c:pt idx="0">
                  <c:v>40.799999999999997</c:v>
                </c:pt>
                <c:pt idx="1">
                  <c:v>21.1</c:v>
                </c:pt>
                <c:pt idx="2">
                  <c:v>14.4</c:v>
                </c:pt>
                <c:pt idx="3">
                  <c:v>8.1</c:v>
                </c:pt>
                <c:pt idx="4">
                  <c:v>6.7</c:v>
                </c:pt>
                <c:pt idx="5">
                  <c:v>6.5</c:v>
                </c:pt>
                <c:pt idx="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80352"/>
        <c:axId val="164182272"/>
      </c:lineChart>
      <c:catAx>
        <c:axId val="1641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182272"/>
        <c:crosses val="autoZero"/>
        <c:auto val="1"/>
        <c:lblAlgn val="ctr"/>
        <c:lblOffset val="100"/>
        <c:noMultiLvlLbl val="0"/>
      </c:catAx>
      <c:valAx>
        <c:axId val="16418227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Watt / m2 EBF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18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773437411232685"/>
          <c:y val="2.811245324579659E-2"/>
          <c:w val="0.39934485462044511"/>
          <c:h val="0.42061404449784379"/>
        </c:manualLayout>
      </c:layout>
      <c:overlay val="0"/>
      <c:spPr>
        <a:solidFill>
          <a:schemeClr val="bg1"/>
        </a:solidFill>
        <a:ln w="12700"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93997843292845"/>
          <c:y val="4.2561450935799237E-2"/>
          <c:w val="0.83077940364750547"/>
          <c:h val="0.85966058057456718"/>
        </c:manualLayout>
      </c:layout>
      <c:lineChart>
        <c:grouping val="standard"/>
        <c:varyColors val="0"/>
        <c:ser>
          <c:idx val="0"/>
          <c:order val="0"/>
          <c:tx>
            <c:strRef>
              <c:f>Sheet1!$C$1288</c:f>
              <c:strCache>
                <c:ptCount val="1"/>
                <c:pt idx="0">
                  <c:v>WWB, EFH saniert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Sheet1!$D$1288:$J$1288</c:f>
              <c:numCache>
                <c:formatCode>General</c:formatCode>
                <c:ptCount val="7"/>
                <c:pt idx="0">
                  <c:v>60.3</c:v>
                </c:pt>
                <c:pt idx="1">
                  <c:v>48.4</c:v>
                </c:pt>
                <c:pt idx="2">
                  <c:v>42.5</c:v>
                </c:pt>
                <c:pt idx="3">
                  <c:v>36.1</c:v>
                </c:pt>
                <c:pt idx="4">
                  <c:v>33.700000000000003</c:v>
                </c:pt>
                <c:pt idx="5">
                  <c:v>31.7</c:v>
                </c:pt>
                <c:pt idx="6">
                  <c:v>28.7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Sheet1!$C$1290</c:f>
              <c:strCache>
                <c:ptCount val="1"/>
                <c:pt idx="0">
                  <c:v>WWB, EFH neu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Sheet1!$D$1290:$J$1290</c:f>
              <c:numCache>
                <c:formatCode>General</c:formatCode>
                <c:ptCount val="7"/>
                <c:pt idx="0">
                  <c:v>57.6</c:v>
                </c:pt>
                <c:pt idx="1">
                  <c:v>32.299999999999997</c:v>
                </c:pt>
                <c:pt idx="2">
                  <c:v>28.4</c:v>
                </c:pt>
                <c:pt idx="3">
                  <c:v>24.1</c:v>
                </c:pt>
                <c:pt idx="4">
                  <c:v>22.5</c:v>
                </c:pt>
                <c:pt idx="5">
                  <c:v>21.1</c:v>
                </c:pt>
                <c:pt idx="6">
                  <c:v>19.100000000000001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Sheet1!$C$1292</c:f>
              <c:strCache>
                <c:ptCount val="1"/>
                <c:pt idx="0">
                  <c:v>NEP, EFH saniert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Sheet1!$D$1292:$J$1292</c:f>
              <c:numCache>
                <c:formatCode>General</c:formatCode>
                <c:ptCount val="7"/>
                <c:pt idx="0">
                  <c:v>60.3</c:v>
                </c:pt>
                <c:pt idx="1">
                  <c:v>48.4</c:v>
                </c:pt>
                <c:pt idx="2">
                  <c:v>27.3</c:v>
                </c:pt>
                <c:pt idx="3">
                  <c:v>13</c:v>
                </c:pt>
                <c:pt idx="4">
                  <c:v>12.7</c:v>
                </c:pt>
                <c:pt idx="5">
                  <c:v>12.5</c:v>
                </c:pt>
                <c:pt idx="6">
                  <c:v>12.1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Sheet1!$C$1294</c:f>
              <c:strCache>
                <c:ptCount val="1"/>
                <c:pt idx="0">
                  <c:v>NEP. EFH neu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Sheet1!$D$1294:$J$1294</c:f>
              <c:numCache>
                <c:formatCode>General</c:formatCode>
                <c:ptCount val="7"/>
                <c:pt idx="0">
                  <c:v>57.6</c:v>
                </c:pt>
                <c:pt idx="1">
                  <c:v>32.299999999999997</c:v>
                </c:pt>
                <c:pt idx="2">
                  <c:v>17.100000000000001</c:v>
                </c:pt>
                <c:pt idx="3">
                  <c:v>8.6999999999999993</c:v>
                </c:pt>
                <c:pt idx="4">
                  <c:v>8.5</c:v>
                </c:pt>
                <c:pt idx="5">
                  <c:v>8.3000000000000007</c:v>
                </c:pt>
                <c:pt idx="6">
                  <c:v>8.1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Sheet1!$C$1296</c:f>
              <c:strCache>
                <c:ptCount val="1"/>
                <c:pt idx="0">
                  <c:v>POM, EFH saniert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5"/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Sheet1!$D$1296:$J$1296</c:f>
              <c:numCache>
                <c:formatCode>General</c:formatCode>
                <c:ptCount val="7"/>
                <c:pt idx="0">
                  <c:v>60.3</c:v>
                </c:pt>
                <c:pt idx="1">
                  <c:v>48.4</c:v>
                </c:pt>
                <c:pt idx="2">
                  <c:v>32.799999999999997</c:v>
                </c:pt>
                <c:pt idx="3">
                  <c:v>22.7</c:v>
                </c:pt>
                <c:pt idx="4">
                  <c:v>20</c:v>
                </c:pt>
                <c:pt idx="5">
                  <c:v>19.5</c:v>
                </c:pt>
                <c:pt idx="6">
                  <c:v>16.8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Sheet1!$C$1298</c:f>
              <c:strCache>
                <c:ptCount val="1"/>
                <c:pt idx="0">
                  <c:v>POM, EFH neu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Sheet1!$D$1287:$J$1287</c:f>
              <c:numCache>
                <c:formatCode>General</c:formatCode>
                <c:ptCount val="7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2050</c:v>
                </c:pt>
              </c:numCache>
            </c:numRef>
          </c:cat>
          <c:val>
            <c:numRef>
              <c:f>Sheet1!$D$1298:$J$1298</c:f>
              <c:numCache>
                <c:formatCode>General</c:formatCode>
                <c:ptCount val="7"/>
                <c:pt idx="0">
                  <c:v>57.6</c:v>
                </c:pt>
                <c:pt idx="1">
                  <c:v>32.299999999999997</c:v>
                </c:pt>
                <c:pt idx="2">
                  <c:v>23</c:v>
                </c:pt>
                <c:pt idx="3">
                  <c:v>9.9</c:v>
                </c:pt>
                <c:pt idx="4">
                  <c:v>9.3000000000000007</c:v>
                </c:pt>
                <c:pt idx="5">
                  <c:v>9.1</c:v>
                </c:pt>
                <c:pt idx="6">
                  <c:v>8.3000000000000007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98656"/>
        <c:axId val="164221312"/>
      </c:lineChart>
      <c:catAx>
        <c:axId val="1641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221312"/>
        <c:crosses val="autoZero"/>
        <c:auto val="1"/>
        <c:lblAlgn val="ctr"/>
        <c:lblOffset val="100"/>
        <c:noMultiLvlLbl val="0"/>
      </c:catAx>
      <c:valAx>
        <c:axId val="16422131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Watt / m2 EBF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19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577350053465539"/>
          <c:y val="3.1426901021258599E-2"/>
          <c:w val="0.35237470852624103"/>
          <c:h val="0.42061404449784379"/>
        </c:manualLayout>
      </c:layout>
      <c:overlay val="0"/>
      <c:spPr>
        <a:solidFill>
          <a:sysClr val="window" lastClr="FFFFFF"/>
        </a:solidFill>
        <a:ln w="12700"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05255396534553"/>
          <c:y val="4.9299711189093508E-2"/>
          <c:w val="0.51716724173523254"/>
          <c:h val="0.77119275926496311"/>
        </c:manualLayout>
      </c:layout>
      <c:lineChart>
        <c:grouping val="standard"/>
        <c:varyColors val="0"/>
        <c:ser>
          <c:idx val="0"/>
          <c:order val="0"/>
          <c:tx>
            <c:strRef>
              <c:f>Sheet1!$D$472</c:f>
              <c:strCache>
                <c:ptCount val="1"/>
                <c:pt idx="0">
                  <c:v>BFE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Sheet1!$E$471:$M$471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Sheet1!$E$472:$M$472</c:f>
              <c:numCache>
                <c:formatCode>0.00</c:formatCode>
                <c:ptCount val="9"/>
                <c:pt idx="0">
                  <c:v>1</c:v>
                </c:pt>
                <c:pt idx="1">
                  <c:v>1.5151399491094146</c:v>
                </c:pt>
                <c:pt idx="2">
                  <c:v>1.7949167040466889</c:v>
                </c:pt>
                <c:pt idx="3">
                  <c:v>1.8743482887039731</c:v>
                </c:pt>
                <c:pt idx="4">
                  <c:v>1.9537798733612572</c:v>
                </c:pt>
                <c:pt idx="5">
                  <c:v>1.9964595307890516</c:v>
                </c:pt>
                <c:pt idx="6">
                  <c:v>2.0106860832649831</c:v>
                </c:pt>
                <c:pt idx="7">
                  <c:v>2.008314991185661</c:v>
                </c:pt>
                <c:pt idx="8">
                  <c:v>2.0059438991063394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Sheet1!$D$475</c:f>
              <c:strCache>
                <c:ptCount val="1"/>
                <c:pt idx="0">
                  <c:v>PSI-sys</c:v>
                </c:pt>
              </c:strCache>
            </c:strRef>
          </c:tx>
          <c:marker>
            <c:symbol val="diamond"/>
            <c:size val="7"/>
          </c:marker>
          <c:cat>
            <c:numRef>
              <c:f>Sheet1!$E$471:$M$471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Sheet1!$E$475:$M$475</c:f>
              <c:numCache>
                <c:formatCode>0.00</c:formatCode>
                <c:ptCount val="9"/>
                <c:pt idx="0">
                  <c:v>1</c:v>
                </c:pt>
                <c:pt idx="1">
                  <c:v>1.2333333333333334</c:v>
                </c:pt>
                <c:pt idx="2">
                  <c:v>1.4666666666666666</c:v>
                </c:pt>
                <c:pt idx="3">
                  <c:v>1.6</c:v>
                </c:pt>
                <c:pt idx="4">
                  <c:v>1.7333333333333334</c:v>
                </c:pt>
                <c:pt idx="5">
                  <c:v>1.7333333333333334</c:v>
                </c:pt>
                <c:pt idx="6">
                  <c:v>1.7333333333333334</c:v>
                </c:pt>
                <c:pt idx="7">
                  <c:v>1.8</c:v>
                </c:pt>
                <c:pt idx="8">
                  <c:v>1.8666666666666667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Sheet1!$D$476</c:f>
              <c:strCache>
                <c:ptCount val="1"/>
                <c:pt idx="0">
                  <c:v>Greenpeace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Sheet1!$E$471:$M$471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Sheet1!$E$476:$M$476</c:f>
              <c:numCache>
                <c:formatCode>0.00</c:formatCode>
                <c:ptCount val="9"/>
                <c:pt idx="0">
                  <c:v>1</c:v>
                </c:pt>
                <c:pt idx="1">
                  <c:v>1.7969465648854961</c:v>
                </c:pt>
                <c:pt idx="2">
                  <c:v>2.1206106870229009</c:v>
                </c:pt>
                <c:pt idx="3">
                  <c:v>2.3022900763358778</c:v>
                </c:pt>
                <c:pt idx="4">
                  <c:v>2.4687022900763362</c:v>
                </c:pt>
                <c:pt idx="5">
                  <c:v>2.6412213740458017</c:v>
                </c:pt>
                <c:pt idx="6">
                  <c:v>2.8167938931297711</c:v>
                </c:pt>
                <c:pt idx="7">
                  <c:v>3.0740458015267174</c:v>
                </c:pt>
                <c:pt idx="8">
                  <c:v>3.3312977099236645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Sheet1!$D$477</c:f>
              <c:strCache>
                <c:ptCount val="1"/>
                <c:pt idx="0">
                  <c:v>VSE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Sheet1!$E$471:$M$471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Sheet1!$E$477:$M$477</c:f>
              <c:numCache>
                <c:formatCode>0.00</c:formatCode>
                <c:ptCount val="9"/>
                <c:pt idx="0">
                  <c:v>1</c:v>
                </c:pt>
                <c:pt idx="1">
                  <c:v>1.5151399491094146</c:v>
                </c:pt>
                <c:pt idx="2">
                  <c:v>1.6135256600905454</c:v>
                </c:pt>
                <c:pt idx="3">
                  <c:v>1.6200847074892875</c:v>
                </c:pt>
                <c:pt idx="4">
                  <c:v>1.8857261271383408</c:v>
                </c:pt>
                <c:pt idx="5">
                  <c:v>2.1513675467873936</c:v>
                </c:pt>
                <c:pt idx="6">
                  <c:v>2.1644856415848781</c:v>
                </c:pt>
                <c:pt idx="7">
                  <c:v>2.18197643464819</c:v>
                </c:pt>
                <c:pt idx="8">
                  <c:v>2.1907218311798462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35136"/>
        <c:axId val="164241408"/>
      </c:lineChart>
      <c:catAx>
        <c:axId val="1642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4241408"/>
        <c:crosses val="autoZero"/>
        <c:auto val="1"/>
        <c:lblAlgn val="ctr"/>
        <c:lblOffset val="100"/>
        <c:noMultiLvlLbl val="0"/>
      </c:catAx>
      <c:valAx>
        <c:axId val="164241408"/>
        <c:scaling>
          <c:orientation val="minMax"/>
          <c:min val="1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CH" sz="1200"/>
                  <a:t>Gas price (Indexed)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423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61246276799672"/>
          <c:y val="4.3295630782757596E-2"/>
          <c:w val="0.2799501502411898"/>
          <c:h val="0.5459020188531693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/>
              <a:t>Household devices (Scenario NEP)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Sheet1!$C$1353</c:f>
              <c:strCache>
                <c:ptCount val="1"/>
                <c:pt idx="0">
                  <c:v>Light (kWh/m2)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Sheet1!$D$1353:$I$1353</c:f>
              <c:numCache>
                <c:formatCode>General</c:formatCode>
                <c:ptCount val="6"/>
                <c:pt idx="0">
                  <c:v>0.14705882352941169</c:v>
                </c:pt>
                <c:pt idx="1">
                  <c:v>0</c:v>
                </c:pt>
                <c:pt idx="2">
                  <c:v>-0.55882352941176472</c:v>
                </c:pt>
                <c:pt idx="3">
                  <c:v>-0.76470588235294112</c:v>
                </c:pt>
                <c:pt idx="4">
                  <c:v>-0.8529411764705882</c:v>
                </c:pt>
                <c:pt idx="5">
                  <c:v>-0.88235294117647056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Sheet1!$C$1354</c:f>
              <c:strCache>
                <c:ptCount val="1"/>
                <c:pt idx="0">
                  <c:v>Dishwasher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Sheet1!$D$1354:$I$1354</c:f>
              <c:numCache>
                <c:formatCode>General</c:formatCode>
                <c:ptCount val="6"/>
                <c:pt idx="0">
                  <c:v>0.2878851836217815</c:v>
                </c:pt>
                <c:pt idx="1">
                  <c:v>0</c:v>
                </c:pt>
                <c:pt idx="2">
                  <c:v>-0.11523849725622626</c:v>
                </c:pt>
                <c:pt idx="3">
                  <c:v>-0.20852680455888561</c:v>
                </c:pt>
                <c:pt idx="4">
                  <c:v>-0.29084001688476147</c:v>
                </c:pt>
                <c:pt idx="5">
                  <c:v>-0.36555508653440272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Sheet1!$C$1355</c:f>
              <c:strCache>
                <c:ptCount val="1"/>
                <c:pt idx="0">
                  <c:v>Fridge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Sheet1!$D$1355:$I$1355</c:f>
              <c:numCache>
                <c:formatCode>General</c:formatCode>
                <c:ptCount val="6"/>
                <c:pt idx="0">
                  <c:v>0.14448818897637783</c:v>
                </c:pt>
                <c:pt idx="1">
                  <c:v>0</c:v>
                </c:pt>
                <c:pt idx="2">
                  <c:v>-0.28070866141732287</c:v>
                </c:pt>
                <c:pt idx="3">
                  <c:v>-0.44881889763779526</c:v>
                </c:pt>
                <c:pt idx="4">
                  <c:v>-0.53740157480314954</c:v>
                </c:pt>
                <c:pt idx="5">
                  <c:v>-0.60551181102362206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Sheet1!$C$1356</c:f>
              <c:strCache>
                <c:ptCount val="1"/>
                <c:pt idx="0">
                  <c:v>Freezer-fridge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Sheet1!$D$1356:$I$1356</c:f>
              <c:numCache>
                <c:formatCode>General</c:formatCode>
                <c:ptCount val="6"/>
                <c:pt idx="0">
                  <c:v>0.1879652605459059</c:v>
                </c:pt>
                <c:pt idx="1">
                  <c:v>0</c:v>
                </c:pt>
                <c:pt idx="2">
                  <c:v>-0.29311414392059543</c:v>
                </c:pt>
                <c:pt idx="3">
                  <c:v>-0.48697270471464016</c:v>
                </c:pt>
                <c:pt idx="4">
                  <c:v>-0.57723325062034725</c:v>
                </c:pt>
                <c:pt idx="5">
                  <c:v>-0.63461538461538458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Sheet1!$C$1357</c:f>
              <c:strCache>
                <c:ptCount val="1"/>
                <c:pt idx="0">
                  <c:v>Freezer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Sheet1!$D$1357:$I$1357</c:f>
              <c:numCache>
                <c:formatCode>General</c:formatCode>
                <c:ptCount val="6"/>
                <c:pt idx="0">
                  <c:v>0.16253951527924126</c:v>
                </c:pt>
                <c:pt idx="1">
                  <c:v>0</c:v>
                </c:pt>
                <c:pt idx="2">
                  <c:v>-0.25026343519494199</c:v>
                </c:pt>
                <c:pt idx="3">
                  <c:v>-0.49973656480505801</c:v>
                </c:pt>
                <c:pt idx="4">
                  <c:v>-0.62038988408851425</c:v>
                </c:pt>
                <c:pt idx="5">
                  <c:v>-0.68177028451001054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Sheet1!$C$1358</c:f>
              <c:strCache>
                <c:ptCount val="1"/>
                <c:pt idx="0">
                  <c:v>Freezer upright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Sheet1!$D$1358:$I$1358</c:f>
              <c:numCache>
                <c:formatCode>General</c:formatCode>
                <c:ptCount val="6"/>
                <c:pt idx="0">
                  <c:v>7.950651130911579E-2</c:v>
                </c:pt>
                <c:pt idx="1">
                  <c:v>0</c:v>
                </c:pt>
                <c:pt idx="2">
                  <c:v>-0.17717614804660731</c:v>
                </c:pt>
                <c:pt idx="3">
                  <c:v>-0.3440712816997944</c:v>
                </c:pt>
                <c:pt idx="4">
                  <c:v>-0.45339273474982866</c:v>
                </c:pt>
                <c:pt idx="5">
                  <c:v>-0.52981494174091848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Sheet1!$C$1359</c:f>
              <c:strCache>
                <c:ptCount val="1"/>
                <c:pt idx="0">
                  <c:v>Washing machine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Sheet1!$D$1359:$I$1359</c:f>
              <c:numCache>
                <c:formatCode>General</c:formatCode>
                <c:ptCount val="6"/>
                <c:pt idx="0">
                  <c:v>0.11428571428571432</c:v>
                </c:pt>
                <c:pt idx="1">
                  <c:v>0</c:v>
                </c:pt>
                <c:pt idx="2">
                  <c:v>-9.5238095238095233E-2</c:v>
                </c:pt>
                <c:pt idx="3">
                  <c:v>-0.2142857142857143</c:v>
                </c:pt>
                <c:pt idx="4">
                  <c:v>-0.30428571428571427</c:v>
                </c:pt>
                <c:pt idx="5">
                  <c:v>-0.3833333333333333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Sheet1!$C$1360</c:f>
              <c:strCache>
                <c:ptCount val="1"/>
                <c:pt idx="0">
                  <c:v>Washer-dryer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Sheet1!$D$1360:$I$1360</c:f>
              <c:numCache>
                <c:formatCode>General</c:formatCode>
                <c:ptCount val="6"/>
                <c:pt idx="0">
                  <c:v>9.8831985624438401E-2</c:v>
                </c:pt>
                <c:pt idx="1">
                  <c:v>0</c:v>
                </c:pt>
                <c:pt idx="2">
                  <c:v>-0.32758310871518426</c:v>
                </c:pt>
                <c:pt idx="3">
                  <c:v>-0.41976639712488772</c:v>
                </c:pt>
                <c:pt idx="4">
                  <c:v>-0.48032345013477096</c:v>
                </c:pt>
                <c:pt idx="5">
                  <c:v>-0.53495058400718776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Sheet1!$C$1361</c:f>
              <c:strCache>
                <c:ptCount val="1"/>
                <c:pt idx="0">
                  <c:v>Dryer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Sheet1!$D$1361:$I$1361</c:f>
              <c:numCache>
                <c:formatCode>General</c:formatCode>
                <c:ptCount val="6"/>
                <c:pt idx="0">
                  <c:v>0.12380649267982191</c:v>
                </c:pt>
                <c:pt idx="1">
                  <c:v>0</c:v>
                </c:pt>
                <c:pt idx="2">
                  <c:v>-0.30808402291534054</c:v>
                </c:pt>
                <c:pt idx="3">
                  <c:v>-0.52418841502227886</c:v>
                </c:pt>
                <c:pt idx="4">
                  <c:v>-0.57447485677912158</c:v>
                </c:pt>
                <c:pt idx="5">
                  <c:v>-0.61680458306810948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Sheet1!$C$1362</c:f>
              <c:strCache>
                <c:ptCount val="1"/>
                <c:pt idx="0">
                  <c:v>TV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Sheet1!$D$1362:$I$1362</c:f>
              <c:numCache>
                <c:formatCode>General</c:formatCode>
                <c:ptCount val="6"/>
                <c:pt idx="0">
                  <c:v>-0.10265486725663719</c:v>
                </c:pt>
                <c:pt idx="1">
                  <c:v>0</c:v>
                </c:pt>
                <c:pt idx="2">
                  <c:v>-0.24247787610619465</c:v>
                </c:pt>
                <c:pt idx="3">
                  <c:v>-0.35221238938053101</c:v>
                </c:pt>
                <c:pt idx="4">
                  <c:v>-0.45722713864306785</c:v>
                </c:pt>
                <c:pt idx="5">
                  <c:v>-0.50619469026548669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Sheet1!$C$1363</c:f>
              <c:strCache>
                <c:ptCount val="1"/>
                <c:pt idx="0">
                  <c:v>Computer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Sheet1!$D$1363:$I$1363</c:f>
              <c:numCache>
                <c:formatCode>General</c:formatCode>
                <c:ptCount val="6"/>
                <c:pt idx="1">
                  <c:v>0</c:v>
                </c:pt>
                <c:pt idx="2">
                  <c:v>-0.30490956072351427</c:v>
                </c:pt>
                <c:pt idx="3">
                  <c:v>-0.36046511627906985</c:v>
                </c:pt>
                <c:pt idx="4">
                  <c:v>-0.4031007751937985</c:v>
                </c:pt>
                <c:pt idx="5">
                  <c:v>-0.42635658914728691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Sheet1!$C$1364</c:f>
              <c:strCache>
                <c:ptCount val="1"/>
                <c:pt idx="0">
                  <c:v>Mobile phone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Sheet1!$D$1321:$I$1321</c:f>
              <c:numCache>
                <c:formatCode>General</c:formatCod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Sheet1!$D$1364:$I$1364</c:f>
              <c:numCache>
                <c:formatCode>General</c:formatCode>
                <c:ptCount val="6"/>
                <c:pt idx="0">
                  <c:v>0.15094339622641506</c:v>
                </c:pt>
                <c:pt idx="1">
                  <c:v>0</c:v>
                </c:pt>
                <c:pt idx="2">
                  <c:v>0.28301886792452824</c:v>
                </c:pt>
                <c:pt idx="3">
                  <c:v>-0.320754716981132</c:v>
                </c:pt>
                <c:pt idx="4">
                  <c:v>-0.45283018867924529</c:v>
                </c:pt>
                <c:pt idx="5">
                  <c:v>-0.5660377358490567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73024"/>
        <c:axId val="213889408"/>
      </c:lineChart>
      <c:catAx>
        <c:axId val="2138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89408"/>
        <c:crossesAt val="-1"/>
        <c:auto val="1"/>
        <c:lblAlgn val="ctr"/>
        <c:lblOffset val="100"/>
        <c:noMultiLvlLbl val="0"/>
      </c:catAx>
      <c:valAx>
        <c:axId val="2138894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sz="11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Demand reduction (kWh/year)</a:t>
                </a:r>
                <a:endParaRPr lang="de-CH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73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Sheet1!$AT$117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Sheet1!$AU$117:$BW$117</c:f>
              <c:numCache>
                <c:formatCode>General</c:formatCode>
                <c:ptCount val="29"/>
                <c:pt idx="0">
                  <c:v>0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34.04</c:v>
                </c:pt>
                <c:pt idx="6">
                  <c:v>34.04</c:v>
                </c:pt>
                <c:pt idx="7">
                  <c:v>34.04</c:v>
                </c:pt>
                <c:pt idx="8">
                  <c:v>36.61</c:v>
                </c:pt>
                <c:pt idx="9">
                  <c:v>36.61</c:v>
                </c:pt>
                <c:pt idx="10">
                  <c:v>36.61</c:v>
                </c:pt>
                <c:pt idx="11">
                  <c:v>36.61</c:v>
                </c:pt>
                <c:pt idx="12">
                  <c:v>36.61</c:v>
                </c:pt>
                <c:pt idx="13">
                  <c:v>33.72</c:v>
                </c:pt>
                <c:pt idx="14">
                  <c:v>34.506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36.061527777777783</c:v>
                </c:pt>
                <c:pt idx="19">
                  <c:v>38.112777777777772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Sheet1!$AT$118</c:f>
              <c:strCache>
                <c:ptCount val="1"/>
                <c:pt idx="0">
                  <c:v>Hydro river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Sheet1!$AU$118:$BW$118</c:f>
              <c:numCache>
                <c:formatCode>General</c:formatCode>
                <c:ptCount val="29"/>
                <c:pt idx="0">
                  <c:v>17.242999999999999</c:v>
                </c:pt>
                <c:pt idx="1">
                  <c:v>0</c:v>
                </c:pt>
                <c:pt idx="2">
                  <c:v>17</c:v>
                </c:pt>
                <c:pt idx="3">
                  <c:v>18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16.600000000000001</c:v>
                </c:pt>
                <c:pt idx="16">
                  <c:v>16.600000000000001</c:v>
                </c:pt>
                <c:pt idx="17">
                  <c:v>16.600000000000001</c:v>
                </c:pt>
                <c:pt idx="18">
                  <c:v>0</c:v>
                </c:pt>
                <c:pt idx="19">
                  <c:v>0</c:v>
                </c:pt>
                <c:pt idx="20">
                  <c:v>18.576499999999999</c:v>
                </c:pt>
                <c:pt idx="21">
                  <c:v>18.576499999999999</c:v>
                </c:pt>
                <c:pt idx="22">
                  <c:v>18.576499999999999</c:v>
                </c:pt>
                <c:pt idx="23">
                  <c:v>18.576499999999999</c:v>
                </c:pt>
                <c:pt idx="24">
                  <c:v>18.576499999999999</c:v>
                </c:pt>
                <c:pt idx="25">
                  <c:v>18.576499999999999</c:v>
                </c:pt>
                <c:pt idx="26">
                  <c:v>18.576499999999999</c:v>
                </c:pt>
                <c:pt idx="27">
                  <c:v>18.576499999999999</c:v>
                </c:pt>
                <c:pt idx="28">
                  <c:v>18.576499999999999</c:v>
                </c:pt>
              </c:numCache>
            </c:numRef>
          </c:val>
        </c:ser>
        <c:ser>
          <c:idx val="2"/>
          <c:order val="2"/>
          <c:tx>
            <c:strRef>
              <c:f>Sheet1!$AT$119</c:f>
              <c:strCache>
                <c:ptCount val="1"/>
                <c:pt idx="0">
                  <c:v>Hydro storage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Sheet1!$AU$119:$BW$119</c:f>
              <c:numCache>
                <c:formatCode>General</c:formatCode>
                <c:ptCount val="29"/>
                <c:pt idx="0">
                  <c:v>19.71</c:v>
                </c:pt>
                <c:pt idx="1">
                  <c:v>0</c:v>
                </c:pt>
                <c:pt idx="2">
                  <c:v>18.100000000000001</c:v>
                </c:pt>
                <c:pt idx="3">
                  <c:v>18</c:v>
                </c:pt>
                <c:pt idx="4">
                  <c:v>19.600000000000001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19.78</c:v>
                </c:pt>
                <c:pt idx="16">
                  <c:v>19.62</c:v>
                </c:pt>
                <c:pt idx="17">
                  <c:v>19.39</c:v>
                </c:pt>
                <c:pt idx="18">
                  <c:v>0</c:v>
                </c:pt>
                <c:pt idx="19">
                  <c:v>0</c:v>
                </c:pt>
                <c:pt idx="20">
                  <c:v>18.661407333976832</c:v>
                </c:pt>
                <c:pt idx="21">
                  <c:v>18.579686476445474</c:v>
                </c:pt>
                <c:pt idx="22">
                  <c:v>18.940767710812086</c:v>
                </c:pt>
                <c:pt idx="23">
                  <c:v>19.41351072768202</c:v>
                </c:pt>
                <c:pt idx="24">
                  <c:v>19.423401214888155</c:v>
                </c:pt>
                <c:pt idx="25">
                  <c:v>19.41351072768202</c:v>
                </c:pt>
                <c:pt idx="26">
                  <c:v>18.382319319529721</c:v>
                </c:pt>
                <c:pt idx="27">
                  <c:v>18.088689657164053</c:v>
                </c:pt>
                <c:pt idx="28">
                  <c:v>17.946660000013917</c:v>
                </c:pt>
              </c:numCache>
            </c:numRef>
          </c:val>
        </c:ser>
        <c:ser>
          <c:idx val="4"/>
          <c:order val="3"/>
          <c:tx>
            <c:strRef>
              <c:f>Sheet1!$AT$120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Sheet1!$AU$120:$BW$120</c:f>
              <c:numCache>
                <c:formatCode>General</c:formatCode>
                <c:ptCount val="29"/>
                <c:pt idx="0">
                  <c:v>26.37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27.33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25.228800000000025</c:v>
                </c:pt>
                <c:pt idx="27">
                  <c:v>25.228800000000025</c:v>
                </c:pt>
                <c:pt idx="28">
                  <c:v>20.048091690597445</c:v>
                </c:pt>
              </c:numCache>
            </c:numRef>
          </c:val>
        </c:ser>
        <c:ser>
          <c:idx val="5"/>
          <c:order val="4"/>
          <c:tx>
            <c:strRef>
              <c:f>Sheet1!$AT$121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Sheet1!$AU$121:$BW$121</c:f>
              <c:numCache>
                <c:formatCode>General</c:formatCode>
                <c:ptCount val="29"/>
                <c:pt idx="0">
                  <c:v>0.84160000000000001</c:v>
                </c:pt>
                <c:pt idx="1">
                  <c:v>14</c:v>
                </c:pt>
                <c:pt idx="2">
                  <c:v>3.58</c:v>
                </c:pt>
                <c:pt idx="3">
                  <c:v>8.48</c:v>
                </c:pt>
                <c:pt idx="4">
                  <c:v>14.18</c:v>
                </c:pt>
                <c:pt idx="5">
                  <c:v>5.92</c:v>
                </c:pt>
                <c:pt idx="6">
                  <c:v>5.92</c:v>
                </c:pt>
                <c:pt idx="7">
                  <c:v>5.92</c:v>
                </c:pt>
                <c:pt idx="8">
                  <c:v>11.12</c:v>
                </c:pt>
                <c:pt idx="9">
                  <c:v>11.12</c:v>
                </c:pt>
                <c:pt idx="10">
                  <c:v>11.12</c:v>
                </c:pt>
                <c:pt idx="11">
                  <c:v>11.12</c:v>
                </c:pt>
                <c:pt idx="12">
                  <c:v>11.12</c:v>
                </c:pt>
                <c:pt idx="13">
                  <c:v>20.45</c:v>
                </c:pt>
                <c:pt idx="14">
                  <c:v>19</c:v>
                </c:pt>
                <c:pt idx="15">
                  <c:v>11.120000000000001</c:v>
                </c:pt>
                <c:pt idx="16">
                  <c:v>11.120000000000001</c:v>
                </c:pt>
                <c:pt idx="17">
                  <c:v>0</c:v>
                </c:pt>
                <c:pt idx="18">
                  <c:v>13.692388888888889</c:v>
                </c:pt>
                <c:pt idx="19">
                  <c:v>13.692388888888885</c:v>
                </c:pt>
                <c:pt idx="20">
                  <c:v>7.0795195806010005</c:v>
                </c:pt>
                <c:pt idx="21">
                  <c:v>5.3308266174228613</c:v>
                </c:pt>
                <c:pt idx="22">
                  <c:v>9.2161754103737223</c:v>
                </c:pt>
                <c:pt idx="23">
                  <c:v>9.2161754103737223</c:v>
                </c:pt>
                <c:pt idx="24">
                  <c:v>9.2161754103737223</c:v>
                </c:pt>
                <c:pt idx="25">
                  <c:v>9.2161754103737223</c:v>
                </c:pt>
                <c:pt idx="26">
                  <c:v>2.8276396599183333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6"/>
          <c:order val="5"/>
          <c:tx>
            <c:strRef>
              <c:f>Sheet1!$AT$122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Sheet1!$AU$122:$BW$122</c:f>
              <c:numCache>
                <c:formatCode>General</c:formatCode>
                <c:ptCount val="29"/>
                <c:pt idx="0">
                  <c:v>0.1009</c:v>
                </c:pt>
                <c:pt idx="1">
                  <c:v>3</c:v>
                </c:pt>
                <c:pt idx="2">
                  <c:v>2.04</c:v>
                </c:pt>
                <c:pt idx="3">
                  <c:v>3.04</c:v>
                </c:pt>
                <c:pt idx="4">
                  <c:v>4.04</c:v>
                </c:pt>
                <c:pt idx="5">
                  <c:v>1.41</c:v>
                </c:pt>
                <c:pt idx="6">
                  <c:v>1.41</c:v>
                </c:pt>
                <c:pt idx="7">
                  <c:v>1.41</c:v>
                </c:pt>
                <c:pt idx="8">
                  <c:v>4.26</c:v>
                </c:pt>
                <c:pt idx="9">
                  <c:v>4.26</c:v>
                </c:pt>
                <c:pt idx="10">
                  <c:v>4.26</c:v>
                </c:pt>
                <c:pt idx="11">
                  <c:v>4.26</c:v>
                </c:pt>
                <c:pt idx="12">
                  <c:v>4.26</c:v>
                </c:pt>
                <c:pt idx="13">
                  <c:v>7.11</c:v>
                </c:pt>
                <c:pt idx="14">
                  <c:v>4</c:v>
                </c:pt>
                <c:pt idx="15">
                  <c:v>4.2699999999999996</c:v>
                </c:pt>
                <c:pt idx="16">
                  <c:v>4.2699999999999996</c:v>
                </c:pt>
                <c:pt idx="17">
                  <c:v>0</c:v>
                </c:pt>
                <c:pt idx="18">
                  <c:v>0</c:v>
                </c:pt>
                <c:pt idx="19">
                  <c:v>4.1998611111111108</c:v>
                </c:pt>
                <c:pt idx="20">
                  <c:v>2.4133333333333358</c:v>
                </c:pt>
                <c:pt idx="21">
                  <c:v>1.1768305173386833</c:v>
                </c:pt>
                <c:pt idx="22">
                  <c:v>2.4133333333333336</c:v>
                </c:pt>
                <c:pt idx="23">
                  <c:v>2.4133333333333304</c:v>
                </c:pt>
                <c:pt idx="24">
                  <c:v>2.4133333333333336</c:v>
                </c:pt>
                <c:pt idx="25">
                  <c:v>2.4133333333333336</c:v>
                </c:pt>
                <c:pt idx="26">
                  <c:v>0.30117155633307219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7"/>
          <c:order val="6"/>
          <c:tx>
            <c:strRef>
              <c:f>Sheet1!$AT$123</c:f>
              <c:strCache>
                <c:ptCount val="1"/>
                <c:pt idx="0">
                  <c:v>Biomass+Geo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Sheet1!$AU$123:$BW$123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5.8</c:v>
                </c:pt>
                <c:pt idx="3">
                  <c:v>8.3000000000000007</c:v>
                </c:pt>
                <c:pt idx="4">
                  <c:v>9.3000000000000007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Sheet1!$AT$124</c:f>
              <c:strCache>
                <c:ptCount val="1"/>
                <c:pt idx="0">
                  <c:v>Geo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Sheet1!$AU$124:$BW$124</c:f>
              <c:numCache>
                <c:formatCode>General</c:formatCode>
                <c:ptCount val="2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0.42</c:v>
                </c:pt>
                <c:pt idx="6">
                  <c:v>0.42</c:v>
                </c:pt>
                <c:pt idx="7">
                  <c:v>0.42</c:v>
                </c:pt>
                <c:pt idx="8">
                  <c:v>4.3899999999999997</c:v>
                </c:pt>
                <c:pt idx="9">
                  <c:v>4.3899999999999997</c:v>
                </c:pt>
                <c:pt idx="10">
                  <c:v>4.3899999999999997</c:v>
                </c:pt>
                <c:pt idx="11">
                  <c:v>4.3899999999999997</c:v>
                </c:pt>
                <c:pt idx="12">
                  <c:v>4.3899999999999997</c:v>
                </c:pt>
                <c:pt idx="13">
                  <c:v>5.88</c:v>
                </c:pt>
                <c:pt idx="14">
                  <c:v>3.8</c:v>
                </c:pt>
                <c:pt idx="15">
                  <c:v>4.41</c:v>
                </c:pt>
                <c:pt idx="16">
                  <c:v>4.41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3.4385133306200832</c:v>
                </c:pt>
                <c:pt idx="23">
                  <c:v>3.9390873333333332</c:v>
                </c:pt>
                <c:pt idx="24">
                  <c:v>3.9390873333333332</c:v>
                </c:pt>
                <c:pt idx="25">
                  <c:v>3.9390873333333332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9"/>
          <c:order val="8"/>
          <c:tx>
            <c:strRef>
              <c:f>Sheet1!$AT$125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Sheet1!$AU$125:$BW$125</c:f>
              <c:numCache>
                <c:formatCode>General</c:formatCode>
                <c:ptCount val="29"/>
                <c:pt idx="0">
                  <c:v>1.6287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4.45</c:v>
                </c:pt>
                <c:pt idx="9">
                  <c:v>4.45</c:v>
                </c:pt>
                <c:pt idx="10">
                  <c:v>4.45</c:v>
                </c:pt>
                <c:pt idx="11">
                  <c:v>4.45</c:v>
                </c:pt>
                <c:pt idx="12">
                  <c:v>4.45</c:v>
                </c:pt>
                <c:pt idx="13">
                  <c:v>5.3100000000000005</c:v>
                </c:pt>
                <c:pt idx="14">
                  <c:v>7.4</c:v>
                </c:pt>
                <c:pt idx="15">
                  <c:v>1.76</c:v>
                </c:pt>
                <c:pt idx="16">
                  <c:v>2.81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2.2361111111111112</c:v>
                </c:pt>
                <c:pt idx="21">
                  <c:v>2.2361111111111112</c:v>
                </c:pt>
                <c:pt idx="22">
                  <c:v>2.2361111111111112</c:v>
                </c:pt>
                <c:pt idx="23">
                  <c:v>4.735816299647114</c:v>
                </c:pt>
                <c:pt idx="24">
                  <c:v>5.8851111111111116</c:v>
                </c:pt>
                <c:pt idx="25">
                  <c:v>3.2590680641113279</c:v>
                </c:pt>
                <c:pt idx="26">
                  <c:v>2.2361111111111112</c:v>
                </c:pt>
                <c:pt idx="27">
                  <c:v>2.2361111111111112</c:v>
                </c:pt>
                <c:pt idx="28">
                  <c:v>1.4166666666666665</c:v>
                </c:pt>
              </c:numCache>
            </c:numRef>
          </c:val>
        </c:ser>
        <c:ser>
          <c:idx val="10"/>
          <c:order val="9"/>
          <c:tx>
            <c:strRef>
              <c:f>Sheet1!$AT$126</c:f>
              <c:strCache>
                <c:ptCount val="1"/>
                <c:pt idx="0">
                  <c:v>Gas+Net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>
                  <a:lumMod val="65000"/>
                </a:schemeClr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Sheet1!$AU$126:$BW$126</c:f>
              <c:numCache>
                <c:formatCode>General</c:formatCode>
                <c:ptCount val="29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1"/>
          <c:order val="10"/>
          <c:tx>
            <c:strRef>
              <c:f>Sheet1!$AT$127</c:f>
              <c:strCache>
                <c:ptCount val="1"/>
                <c:pt idx="0">
                  <c:v>Gas, Fossils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Sheet1!$AU$127:$BW$127</c:f>
              <c:numCache>
                <c:formatCode>General</c:formatCode>
                <c:ptCount val="29"/>
                <c:pt idx="0">
                  <c:v>1.3837999999999999</c:v>
                </c:pt>
                <c:pt idx="1">
                  <c:v>0</c:v>
                </c:pt>
                <c:pt idx="2">
                  <c:v>15.4</c:v>
                </c:pt>
                <c:pt idx="3">
                  <c:v>7.8</c:v>
                </c:pt>
                <c:pt idx="4">
                  <c:v>0</c:v>
                </c:pt>
                <c:pt idx="5">
                  <c:v>30.5</c:v>
                </c:pt>
                <c:pt idx="6">
                  <c:v>21.66</c:v>
                </c:pt>
                <c:pt idx="7">
                  <c:v>13.27</c:v>
                </c:pt>
                <c:pt idx="8">
                  <c:v>3.45</c:v>
                </c:pt>
                <c:pt idx="9">
                  <c:v>3.45</c:v>
                </c:pt>
                <c:pt idx="10">
                  <c:v>15.56</c:v>
                </c:pt>
                <c:pt idx="11">
                  <c:v>10.65</c:v>
                </c:pt>
                <c:pt idx="12">
                  <c:v>6</c:v>
                </c:pt>
                <c:pt idx="13">
                  <c:v>0</c:v>
                </c:pt>
                <c:pt idx="14">
                  <c:v>0.8</c:v>
                </c:pt>
                <c:pt idx="15">
                  <c:v>17.170000000000002</c:v>
                </c:pt>
                <c:pt idx="16">
                  <c:v>5.0299999999999994</c:v>
                </c:pt>
                <c:pt idx="17">
                  <c:v>3.7</c:v>
                </c:pt>
                <c:pt idx="18">
                  <c:v>34.750138888888891</c:v>
                </c:pt>
                <c:pt idx="19">
                  <c:v>20.405472222222222</c:v>
                </c:pt>
                <c:pt idx="20">
                  <c:v>23.948848704783867</c:v>
                </c:pt>
                <c:pt idx="21">
                  <c:v>18.501698630136971</c:v>
                </c:pt>
                <c:pt idx="22">
                  <c:v>1.9962739726027361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5.3631784169257219</c:v>
                </c:pt>
                <c:pt idx="27">
                  <c:v>0.27155258419988165</c:v>
                </c:pt>
                <c:pt idx="28">
                  <c:v>0</c:v>
                </c:pt>
              </c:numCache>
            </c:numRef>
          </c:val>
        </c:ser>
        <c:ser>
          <c:idx val="12"/>
          <c:order val="11"/>
          <c:tx>
            <c:strRef>
              <c:f>Sheet1!$AT$128</c:f>
              <c:strCache>
                <c:ptCount val="1"/>
                <c:pt idx="0">
                  <c:v>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Sheet1!$AU$116:$BW$116</c:f>
              <c:strCache>
                <c:ptCount val="29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SCS, WWB+C+E</c:v>
                </c:pt>
                <c:pt idx="16">
                  <c:v>SCS, NEP+E</c:v>
                </c:pt>
                <c:pt idx="17">
                  <c:v>SCS, Nucl</c:v>
                </c:pt>
                <c:pt idx="18">
                  <c:v>PSI-sys, noClimPol</c:v>
                </c:pt>
                <c:pt idx="19">
                  <c:v>PSI-sys, -50% CO2</c:v>
                </c:pt>
                <c:pt idx="20">
                  <c:v>PSI-elc, WWB+Gas</c:v>
                </c:pt>
                <c:pt idx="21">
                  <c:v>PSI-elc, POM+Gas</c:v>
                </c:pt>
                <c:pt idx="22">
                  <c:v>PSI-elc, NEP+Gas</c:v>
                </c:pt>
                <c:pt idx="23">
                  <c:v>PSI-elc, WWB+Imp</c:v>
                </c:pt>
                <c:pt idx="24">
                  <c:v>PSI-elc, POM+Imp</c:v>
                </c:pt>
                <c:pt idx="25">
                  <c:v>PSI-elc, NEP+Imp</c:v>
                </c:pt>
                <c:pt idx="26">
                  <c:v>PSI-elc, WWB+Nuc</c:v>
                </c:pt>
                <c:pt idx="27">
                  <c:v>PSI-elc, POM+Nuc</c:v>
                </c:pt>
                <c:pt idx="28">
                  <c:v>PSI-elc, NEP+Nuc</c:v>
                </c:pt>
              </c:strCache>
            </c:strRef>
          </c:cat>
          <c:val>
            <c:numRef>
              <c:f>Sheet1!$AU$128:$BW$128</c:f>
              <c:numCache>
                <c:formatCode>General</c:formatCode>
                <c:ptCount val="29"/>
                <c:pt idx="0">
                  <c:v>-5.4909999999999997</c:v>
                </c:pt>
                <c:pt idx="1">
                  <c:v>0</c:v>
                </c:pt>
                <c:pt idx="2">
                  <c:v>22</c:v>
                </c:pt>
                <c:pt idx="3">
                  <c:v>11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1.67</c:v>
                </c:pt>
                <c:pt idx="9">
                  <c:v>-6.7099999999999991</c:v>
                </c:pt>
                <c:pt idx="10">
                  <c:v>-1.59</c:v>
                </c:pt>
                <c:pt idx="11">
                  <c:v>-5.53</c:v>
                </c:pt>
                <c:pt idx="12">
                  <c:v>-9.27</c:v>
                </c:pt>
                <c:pt idx="13">
                  <c:v>0</c:v>
                </c:pt>
                <c:pt idx="14">
                  <c:v>7.5</c:v>
                </c:pt>
                <c:pt idx="15">
                  <c:v>3.15</c:v>
                </c:pt>
                <c:pt idx="16">
                  <c:v>-3.33</c:v>
                </c:pt>
                <c:pt idx="17">
                  <c:v>-3.36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14.621296959403223</c:v>
                </c:pt>
                <c:pt idx="24">
                  <c:v>4.9480449493787759</c:v>
                </c:pt>
                <c:pt idx="25">
                  <c:v>0</c:v>
                </c:pt>
                <c:pt idx="26">
                  <c:v>-5.6843418860808015E-14</c:v>
                </c:pt>
                <c:pt idx="27">
                  <c:v>-2.8421709430404007E-14</c:v>
                </c:pt>
                <c:pt idx="28">
                  <c:v>-2.7355895326763857E-13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4976512"/>
        <c:axId val="164978048"/>
      </c:barChart>
      <c:catAx>
        <c:axId val="16497651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4978048"/>
        <c:crosses val="autoZero"/>
        <c:auto val="1"/>
        <c:lblAlgn val="ctr"/>
        <c:lblOffset val="100"/>
        <c:noMultiLvlLbl val="0"/>
      </c:catAx>
      <c:valAx>
        <c:axId val="164978048"/>
        <c:scaling>
          <c:orientation val="minMax"/>
          <c:max val="90"/>
          <c:min val="-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CH" sz="1200"/>
                  <a:t>Power Supply 2050 (TWh/y)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49765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65824535307503"/>
          <c:y val="3.042718689463466E-2"/>
          <c:w val="0.19306825938844677"/>
          <c:h val="0.755472107630860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Sheet1!$AT$140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Sheet1!$AU$140:$BT$140</c:f>
              <c:numCache>
                <c:formatCode>General</c:formatCode>
                <c:ptCount val="26"/>
                <c:pt idx="0">
                  <c:v>0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34.32</c:v>
                </c:pt>
                <c:pt idx="6">
                  <c:v>34.32</c:v>
                </c:pt>
                <c:pt idx="7">
                  <c:v>34.32</c:v>
                </c:pt>
                <c:pt idx="8">
                  <c:v>35.9</c:v>
                </c:pt>
                <c:pt idx="9">
                  <c:v>35.9</c:v>
                </c:pt>
                <c:pt idx="10">
                  <c:v>35.9</c:v>
                </c:pt>
                <c:pt idx="11">
                  <c:v>35.9</c:v>
                </c:pt>
                <c:pt idx="12">
                  <c:v>35.9</c:v>
                </c:pt>
                <c:pt idx="13">
                  <c:v>34.33</c:v>
                </c:pt>
                <c:pt idx="14">
                  <c:v>34.506</c:v>
                </c:pt>
                <c:pt idx="15">
                  <c:v>35.784333333333329</c:v>
                </c:pt>
                <c:pt idx="16">
                  <c:v>37.322694444444444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Sheet1!$AT$141</c:f>
              <c:strCache>
                <c:ptCount val="1"/>
                <c:pt idx="0">
                  <c:v>Hydro river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Sheet1!$AU$141:$BT$141</c:f>
              <c:numCache>
                <c:formatCode>General</c:formatCode>
                <c:ptCount val="26"/>
                <c:pt idx="0">
                  <c:v>17.242999999999999</c:v>
                </c:pt>
                <c:pt idx="1">
                  <c:v>0</c:v>
                </c:pt>
                <c:pt idx="2">
                  <c:v>17</c:v>
                </c:pt>
                <c:pt idx="3">
                  <c:v>17.333333333333332</c:v>
                </c:pt>
                <c:pt idx="4">
                  <c:v>19.333333333333332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18.555983333333312</c:v>
                </c:pt>
                <c:pt idx="18">
                  <c:v>18.555983333333312</c:v>
                </c:pt>
                <c:pt idx="19">
                  <c:v>18.555983333333312</c:v>
                </c:pt>
                <c:pt idx="20">
                  <c:v>18.555983333333312</c:v>
                </c:pt>
                <c:pt idx="21">
                  <c:v>18.555983333333312</c:v>
                </c:pt>
                <c:pt idx="22">
                  <c:v>18.555983333333312</c:v>
                </c:pt>
                <c:pt idx="23">
                  <c:v>18.555983333333312</c:v>
                </c:pt>
                <c:pt idx="24">
                  <c:v>18.555983333333312</c:v>
                </c:pt>
                <c:pt idx="25">
                  <c:v>18.555983333333312</c:v>
                </c:pt>
              </c:numCache>
            </c:numRef>
          </c:val>
        </c:ser>
        <c:ser>
          <c:idx val="2"/>
          <c:order val="2"/>
          <c:tx>
            <c:strRef>
              <c:f>Sheet1!$AT$142</c:f>
              <c:strCache>
                <c:ptCount val="1"/>
                <c:pt idx="0">
                  <c:v>Hydro storage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Sheet1!$AU$142:$BT$142</c:f>
              <c:numCache>
                <c:formatCode>General</c:formatCode>
                <c:ptCount val="26"/>
                <c:pt idx="0">
                  <c:v>19.71</c:v>
                </c:pt>
                <c:pt idx="1">
                  <c:v>0</c:v>
                </c:pt>
                <c:pt idx="2">
                  <c:v>18.033333333333331</c:v>
                </c:pt>
                <c:pt idx="3">
                  <c:v>18.666666666666664</c:v>
                </c:pt>
                <c:pt idx="4">
                  <c:v>19.399999999999999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18.617442337237257</c:v>
                </c:pt>
                <c:pt idx="18">
                  <c:v>18.525038021234192</c:v>
                </c:pt>
                <c:pt idx="19">
                  <c:v>18.912987411024112</c:v>
                </c:pt>
                <c:pt idx="20">
                  <c:v>19.368587469608915</c:v>
                </c:pt>
                <c:pt idx="21">
                  <c:v>19.391047145909628</c:v>
                </c:pt>
                <c:pt idx="22">
                  <c:v>19.373427855716596</c:v>
                </c:pt>
                <c:pt idx="23">
                  <c:v>18.238513436523959</c:v>
                </c:pt>
                <c:pt idx="24">
                  <c:v>17.989166552397126</c:v>
                </c:pt>
                <c:pt idx="25">
                  <c:v>17.941823333347067</c:v>
                </c:pt>
              </c:numCache>
            </c:numRef>
          </c:val>
        </c:ser>
        <c:ser>
          <c:idx val="4"/>
          <c:order val="3"/>
          <c:tx>
            <c:strRef>
              <c:f>Sheet1!$AT$143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Sheet1!$AU$143:$BT$143</c:f>
              <c:numCache>
                <c:formatCode>General</c:formatCode>
                <c:ptCount val="26"/>
                <c:pt idx="0">
                  <c:v>26.37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2.6069444444444443</c:v>
                </c:pt>
                <c:pt idx="18">
                  <c:v>2.6069444444444443</c:v>
                </c:pt>
                <c:pt idx="19">
                  <c:v>2.6069444444444443</c:v>
                </c:pt>
                <c:pt idx="20">
                  <c:v>2.6069444444444443</c:v>
                </c:pt>
                <c:pt idx="21">
                  <c:v>2.6069444444444443</c:v>
                </c:pt>
                <c:pt idx="22">
                  <c:v>2.6069444444444443</c:v>
                </c:pt>
                <c:pt idx="23">
                  <c:v>25.032544444444472</c:v>
                </c:pt>
                <c:pt idx="24">
                  <c:v>24.599333333333359</c:v>
                </c:pt>
                <c:pt idx="25">
                  <c:v>22.402784952536738</c:v>
                </c:pt>
              </c:numCache>
            </c:numRef>
          </c:val>
        </c:ser>
        <c:ser>
          <c:idx val="5"/>
          <c:order val="4"/>
          <c:tx>
            <c:strRef>
              <c:f>Sheet1!$AT$144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Sheet1!$AU$144:$BT$144</c:f>
              <c:numCache>
                <c:formatCode>General</c:formatCode>
                <c:ptCount val="26"/>
                <c:pt idx="0">
                  <c:v>0.84160000000000001</c:v>
                </c:pt>
                <c:pt idx="1">
                  <c:v>8.6666666666666643</c:v>
                </c:pt>
                <c:pt idx="2">
                  <c:v>1.78</c:v>
                </c:pt>
                <c:pt idx="3">
                  <c:v>3.8133333333333335</c:v>
                </c:pt>
                <c:pt idx="4">
                  <c:v>6.1133333333333333</c:v>
                </c:pt>
                <c:pt idx="5">
                  <c:v>3.48</c:v>
                </c:pt>
                <c:pt idx="6">
                  <c:v>3.48</c:v>
                </c:pt>
                <c:pt idx="7">
                  <c:v>3.48</c:v>
                </c:pt>
                <c:pt idx="8">
                  <c:v>6.74</c:v>
                </c:pt>
                <c:pt idx="9">
                  <c:v>6.74</c:v>
                </c:pt>
                <c:pt idx="10">
                  <c:v>6.74</c:v>
                </c:pt>
                <c:pt idx="11">
                  <c:v>6.74</c:v>
                </c:pt>
                <c:pt idx="12">
                  <c:v>6.74</c:v>
                </c:pt>
                <c:pt idx="13">
                  <c:v>17.309999999999999</c:v>
                </c:pt>
                <c:pt idx="14">
                  <c:v>16</c:v>
                </c:pt>
                <c:pt idx="15">
                  <c:v>2.0750000000000001E-2</c:v>
                </c:pt>
                <c:pt idx="16">
                  <c:v>13.69236111111111</c:v>
                </c:pt>
                <c:pt idx="17">
                  <c:v>5.9148788974210182</c:v>
                </c:pt>
                <c:pt idx="18">
                  <c:v>5.3319812430283058</c:v>
                </c:pt>
                <c:pt idx="19">
                  <c:v>6.6270975073452592</c:v>
                </c:pt>
                <c:pt idx="20">
                  <c:v>6.6270975073452592</c:v>
                </c:pt>
                <c:pt idx="21">
                  <c:v>6.6270975073452592</c:v>
                </c:pt>
                <c:pt idx="22">
                  <c:v>6.6270975073452592</c:v>
                </c:pt>
                <c:pt idx="23">
                  <c:v>2.8287942855237773</c:v>
                </c:pt>
                <c:pt idx="24">
                  <c:v>1.0486348650829795E-3</c:v>
                </c:pt>
                <c:pt idx="25">
                  <c:v>1.0265884612894961E-3</c:v>
                </c:pt>
              </c:numCache>
            </c:numRef>
          </c:val>
        </c:ser>
        <c:ser>
          <c:idx val="6"/>
          <c:order val="5"/>
          <c:tx>
            <c:strRef>
              <c:f>Sheet1!$AT$145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Sheet1!$AU$145:$BT$145</c:f>
              <c:numCache>
                <c:formatCode>General</c:formatCode>
                <c:ptCount val="26"/>
                <c:pt idx="0">
                  <c:v>0.1009</c:v>
                </c:pt>
                <c:pt idx="1">
                  <c:v>2.6666666666666665</c:v>
                </c:pt>
                <c:pt idx="2">
                  <c:v>1.1733333333333333</c:v>
                </c:pt>
                <c:pt idx="3">
                  <c:v>1.7733333333333332</c:v>
                </c:pt>
                <c:pt idx="4">
                  <c:v>2.3733333333333331</c:v>
                </c:pt>
                <c:pt idx="5">
                  <c:v>1.02</c:v>
                </c:pt>
                <c:pt idx="6">
                  <c:v>1.02</c:v>
                </c:pt>
                <c:pt idx="7">
                  <c:v>1.02</c:v>
                </c:pt>
                <c:pt idx="8">
                  <c:v>2.59</c:v>
                </c:pt>
                <c:pt idx="9">
                  <c:v>2.59</c:v>
                </c:pt>
                <c:pt idx="10">
                  <c:v>2.59</c:v>
                </c:pt>
                <c:pt idx="11">
                  <c:v>2.59</c:v>
                </c:pt>
                <c:pt idx="12">
                  <c:v>2.59</c:v>
                </c:pt>
                <c:pt idx="13">
                  <c:v>5.8</c:v>
                </c:pt>
                <c:pt idx="14">
                  <c:v>3.4</c:v>
                </c:pt>
                <c:pt idx="15">
                  <c:v>0</c:v>
                </c:pt>
                <c:pt idx="16">
                  <c:v>4.1498888888888885</c:v>
                </c:pt>
                <c:pt idx="17">
                  <c:v>0.80480744803266568</c:v>
                </c:pt>
                <c:pt idx="18">
                  <c:v>0.39263984270111496</c:v>
                </c:pt>
                <c:pt idx="19">
                  <c:v>1.5731851851851779</c:v>
                </c:pt>
                <c:pt idx="20">
                  <c:v>1.5731851851851768</c:v>
                </c:pt>
                <c:pt idx="21">
                  <c:v>1.5731851851851779</c:v>
                </c:pt>
                <c:pt idx="22">
                  <c:v>1.5731851851851779</c:v>
                </c:pt>
                <c:pt idx="23">
                  <c:v>0.10075352236591127</c:v>
                </c:pt>
                <c:pt idx="24">
                  <c:v>3.2770867591739076E-4</c:v>
                </c:pt>
                <c:pt idx="25">
                  <c:v>3.2037376111509997E-4</c:v>
                </c:pt>
              </c:numCache>
            </c:numRef>
          </c:val>
        </c:ser>
        <c:ser>
          <c:idx val="7"/>
          <c:order val="6"/>
          <c:tx>
            <c:strRef>
              <c:f>Sheet1!$AT$146</c:f>
              <c:strCache>
                <c:ptCount val="1"/>
                <c:pt idx="0">
                  <c:v>Biomass+Geo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Sheet1!$AU$146:$BT$146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4.7333333333333325</c:v>
                </c:pt>
                <c:pt idx="3">
                  <c:v>6.3666666666666663</c:v>
                </c:pt>
                <c:pt idx="4">
                  <c:v>7.2999999999999989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Sheet1!$AT$147</c:f>
              <c:strCache>
                <c:ptCount val="1"/>
                <c:pt idx="0">
                  <c:v>Geo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Sheet1!$AU$147:$BT$147</c:f>
              <c:numCache>
                <c:formatCode>General</c:formatCode>
                <c:ptCount val="26"/>
                <c:pt idx="0">
                  <c:v>0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0.39</c:v>
                </c:pt>
                <c:pt idx="6">
                  <c:v>0.39</c:v>
                </c:pt>
                <c:pt idx="7">
                  <c:v>0.39</c:v>
                </c:pt>
                <c:pt idx="8">
                  <c:v>2.41</c:v>
                </c:pt>
                <c:pt idx="9">
                  <c:v>2.41</c:v>
                </c:pt>
                <c:pt idx="10">
                  <c:v>2.41</c:v>
                </c:pt>
                <c:pt idx="11">
                  <c:v>2.41</c:v>
                </c:pt>
                <c:pt idx="12">
                  <c:v>2.41</c:v>
                </c:pt>
                <c:pt idx="13">
                  <c:v>2.4</c:v>
                </c:pt>
                <c:pt idx="14">
                  <c:v>2.4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1.8331017768733608</c:v>
                </c:pt>
                <c:pt idx="20">
                  <c:v>1.9999597777777776</c:v>
                </c:pt>
                <c:pt idx="21">
                  <c:v>1.9999597777777776</c:v>
                </c:pt>
                <c:pt idx="22">
                  <c:v>1.9999597777777776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9"/>
          <c:order val="8"/>
          <c:tx>
            <c:strRef>
              <c:f>Sheet1!$AT$148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Sheet1!$AU$148:$BT$148</c:f>
              <c:numCache>
                <c:formatCode>General</c:formatCode>
                <c:ptCount val="26"/>
                <c:pt idx="0">
                  <c:v>1.6287</c:v>
                </c:pt>
                <c:pt idx="1">
                  <c:v>5.666666666666667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2.4700000000000002</c:v>
                </c:pt>
                <c:pt idx="6">
                  <c:v>2.4700000000000002</c:v>
                </c:pt>
                <c:pt idx="7">
                  <c:v>2.4700000000000002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5.08</c:v>
                </c:pt>
                <c:pt idx="14">
                  <c:v>6.4</c:v>
                </c:pt>
                <c:pt idx="15">
                  <c:v>0</c:v>
                </c:pt>
                <c:pt idx="16">
                  <c:v>2.8366388888888889</c:v>
                </c:pt>
                <c:pt idx="17">
                  <c:v>2.2361111111111129</c:v>
                </c:pt>
                <c:pt idx="18">
                  <c:v>2.2361111111111129</c:v>
                </c:pt>
                <c:pt idx="19">
                  <c:v>2.2361111111111129</c:v>
                </c:pt>
                <c:pt idx="20">
                  <c:v>3.0693461739564469</c:v>
                </c:pt>
                <c:pt idx="21">
                  <c:v>3.9997755508202593</c:v>
                </c:pt>
                <c:pt idx="22">
                  <c:v>3.2516019080226739</c:v>
                </c:pt>
                <c:pt idx="23">
                  <c:v>2.2361111111111129</c:v>
                </c:pt>
                <c:pt idx="24">
                  <c:v>1.7438476459563685</c:v>
                </c:pt>
                <c:pt idx="25">
                  <c:v>1.4706994978082222</c:v>
                </c:pt>
              </c:numCache>
            </c:numRef>
          </c:val>
        </c:ser>
        <c:ser>
          <c:idx val="10"/>
          <c:order val="9"/>
          <c:tx>
            <c:strRef>
              <c:f>Sheet1!$AT$149</c:f>
              <c:strCache>
                <c:ptCount val="1"/>
                <c:pt idx="0">
                  <c:v>Gas+Net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>
                  <a:lumMod val="65000"/>
                </a:schemeClr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Sheet1!$AU$149:$BT$149</c:f>
              <c:numCache>
                <c:formatCode>General</c:formatCode>
                <c:ptCount val="26"/>
                <c:pt idx="0">
                  <c:v>0</c:v>
                </c:pt>
                <c:pt idx="1">
                  <c:v>11.933333333333334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1"/>
          <c:order val="10"/>
          <c:tx>
            <c:strRef>
              <c:f>Sheet1!$AT$150</c:f>
              <c:strCache>
                <c:ptCount val="1"/>
                <c:pt idx="0">
                  <c:v>Gas, Fossils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Sheet1!$AU$150:$BT$150</c:f>
              <c:numCache>
                <c:formatCode>General</c:formatCode>
                <c:ptCount val="26"/>
                <c:pt idx="0">
                  <c:v>1.3837999999999999</c:v>
                </c:pt>
                <c:pt idx="1">
                  <c:v>0</c:v>
                </c:pt>
                <c:pt idx="2">
                  <c:v>18.466666666666665</c:v>
                </c:pt>
                <c:pt idx="3">
                  <c:v>11.266666666666666</c:v>
                </c:pt>
                <c:pt idx="4">
                  <c:v>0.66666666666666663</c:v>
                </c:pt>
                <c:pt idx="5">
                  <c:v>29.22</c:v>
                </c:pt>
                <c:pt idx="6">
                  <c:v>21.6</c:v>
                </c:pt>
                <c:pt idx="7">
                  <c:v>16.89</c:v>
                </c:pt>
                <c:pt idx="8">
                  <c:v>3.44</c:v>
                </c:pt>
                <c:pt idx="9">
                  <c:v>3.44</c:v>
                </c:pt>
                <c:pt idx="10">
                  <c:v>18.86</c:v>
                </c:pt>
                <c:pt idx="11">
                  <c:v>12.87</c:v>
                </c:pt>
                <c:pt idx="12">
                  <c:v>10.27</c:v>
                </c:pt>
                <c:pt idx="13">
                  <c:v>3.7</c:v>
                </c:pt>
                <c:pt idx="14">
                  <c:v>1.5</c:v>
                </c:pt>
                <c:pt idx="15">
                  <c:v>43.703916666666672</c:v>
                </c:pt>
                <c:pt idx="16">
                  <c:v>16.156583333333334</c:v>
                </c:pt>
                <c:pt idx="17">
                  <c:v>20.044258700681397</c:v>
                </c:pt>
                <c:pt idx="18">
                  <c:v>14.651512476236508</c:v>
                </c:pt>
                <c:pt idx="19">
                  <c:v>6.7411708722704855</c:v>
                </c:pt>
                <c:pt idx="20">
                  <c:v>2.4396764817178819E-2</c:v>
                </c:pt>
                <c:pt idx="21">
                  <c:v>2.4590172085466617E-2</c:v>
                </c:pt>
                <c:pt idx="22">
                  <c:v>1.8416410248546074E-2</c:v>
                </c:pt>
                <c:pt idx="23">
                  <c:v>1.7877261389752406</c:v>
                </c:pt>
                <c:pt idx="24">
                  <c:v>9.0517528066627218E-2</c:v>
                </c:pt>
                <c:pt idx="25">
                  <c:v>0</c:v>
                </c:pt>
              </c:numCache>
            </c:numRef>
          </c:val>
        </c:ser>
        <c:ser>
          <c:idx val="12"/>
          <c:order val="11"/>
          <c:tx>
            <c:strRef>
              <c:f>Sheet1!$AT$151</c:f>
              <c:strCache>
                <c:ptCount val="1"/>
                <c:pt idx="0">
                  <c:v>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Sheet1!$AU$151:$BT$151</c:f>
              <c:numCache>
                <c:formatCode>General</c:formatCode>
                <c:ptCount val="26"/>
                <c:pt idx="0">
                  <c:v>-5.4909999999999997</c:v>
                </c:pt>
                <c:pt idx="1">
                  <c:v>0</c:v>
                </c:pt>
                <c:pt idx="2">
                  <c:v>19.333333333333332</c:v>
                </c:pt>
                <c:pt idx="3">
                  <c:v>16.333333333333332</c:v>
                </c:pt>
                <c:pt idx="4">
                  <c:v>13.333333333333332</c:v>
                </c:pt>
                <c:pt idx="5">
                  <c:v>0.64</c:v>
                </c:pt>
                <c:pt idx="6">
                  <c:v>0.64</c:v>
                </c:pt>
                <c:pt idx="7">
                  <c:v>0.64</c:v>
                </c:pt>
                <c:pt idx="8">
                  <c:v>8.4499999999999993</c:v>
                </c:pt>
                <c:pt idx="9">
                  <c:v>3.74</c:v>
                </c:pt>
                <c:pt idx="10">
                  <c:v>0.64</c:v>
                </c:pt>
                <c:pt idx="11">
                  <c:v>-0.99</c:v>
                </c:pt>
                <c:pt idx="12">
                  <c:v>-3.1000000000000005</c:v>
                </c:pt>
                <c:pt idx="13">
                  <c:v>3.4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2.2026824808563106E-13</c:v>
                </c:pt>
                <c:pt idx="18">
                  <c:v>3.7895612573872008E-14</c:v>
                </c:pt>
                <c:pt idx="19">
                  <c:v>-5.6843418860808015E-14</c:v>
                </c:pt>
                <c:pt idx="20">
                  <c:v>14.954925615759038</c:v>
                </c:pt>
                <c:pt idx="21">
                  <c:v>7.5216273551495947</c:v>
                </c:pt>
                <c:pt idx="22">
                  <c:v>5.0799652194944827</c:v>
                </c:pt>
                <c:pt idx="23">
                  <c:v>-1.8947806286936004E-14</c:v>
                </c:pt>
                <c:pt idx="24">
                  <c:v>-9.473903143468002E-15</c:v>
                </c:pt>
                <c:pt idx="25">
                  <c:v>1.4802973661668753E-13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5805440"/>
        <c:axId val="196039808"/>
      </c:barChart>
      <c:catAx>
        <c:axId val="16580544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96039808"/>
        <c:crosses val="autoZero"/>
        <c:auto val="1"/>
        <c:lblAlgn val="ctr"/>
        <c:lblOffset val="100"/>
        <c:noMultiLvlLbl val="0"/>
      </c:catAx>
      <c:valAx>
        <c:axId val="196039808"/>
        <c:scaling>
          <c:orientation val="minMax"/>
          <c:max val="90"/>
          <c:min val="-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CH" sz="1100"/>
                  <a:t>Supply 2040 (TWh/y)</a:t>
                </a:r>
                <a:r>
                  <a:rPr lang="de-CH" sz="1100" baseline="0"/>
                  <a:t> </a:t>
                </a:r>
                <a:endParaRPr lang="de-CH" sz="11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58054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65824535307503"/>
          <c:y val="3.042718689463466E-2"/>
          <c:w val="0.19306825938844677"/>
          <c:h val="0.755472107630860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Sheet1!$AT$163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Sheet1!$AU$163:$BT$163</c:f>
              <c:numCache>
                <c:formatCode>General</c:formatCode>
                <c:ptCount val="26"/>
                <c:pt idx="0">
                  <c:v>0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34.21</c:v>
                </c:pt>
                <c:pt idx="6">
                  <c:v>34.21</c:v>
                </c:pt>
                <c:pt idx="7">
                  <c:v>34.21</c:v>
                </c:pt>
                <c:pt idx="8">
                  <c:v>35.480000000000004</c:v>
                </c:pt>
                <c:pt idx="9">
                  <c:v>35.480000000000004</c:v>
                </c:pt>
                <c:pt idx="10">
                  <c:v>35.480000000000004</c:v>
                </c:pt>
                <c:pt idx="11">
                  <c:v>35.480000000000004</c:v>
                </c:pt>
                <c:pt idx="12">
                  <c:v>35.480000000000004</c:v>
                </c:pt>
                <c:pt idx="13">
                  <c:v>34.450000000000003</c:v>
                </c:pt>
                <c:pt idx="14">
                  <c:v>34.506</c:v>
                </c:pt>
                <c:pt idx="15">
                  <c:v>35.645694444444445</c:v>
                </c:pt>
                <c:pt idx="16">
                  <c:v>36.671333333333337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Sheet1!$AT$164</c:f>
              <c:strCache>
                <c:ptCount val="1"/>
                <c:pt idx="0">
                  <c:v>Hydro river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Sheet1!$AU$164:$BT$164</c:f>
              <c:numCache>
                <c:formatCode>General</c:formatCode>
                <c:ptCount val="26"/>
                <c:pt idx="0">
                  <c:v>17.242999999999999</c:v>
                </c:pt>
                <c:pt idx="1">
                  <c:v>0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18.545724999999972</c:v>
                </c:pt>
                <c:pt idx="18">
                  <c:v>18.545724999999972</c:v>
                </c:pt>
                <c:pt idx="19">
                  <c:v>18.545724999999972</c:v>
                </c:pt>
                <c:pt idx="20">
                  <c:v>18.545724999999972</c:v>
                </c:pt>
                <c:pt idx="21">
                  <c:v>18.545724999999972</c:v>
                </c:pt>
                <c:pt idx="22">
                  <c:v>18.545724999999972</c:v>
                </c:pt>
                <c:pt idx="23">
                  <c:v>18.545724999999972</c:v>
                </c:pt>
                <c:pt idx="24">
                  <c:v>18.545724999999972</c:v>
                </c:pt>
                <c:pt idx="25">
                  <c:v>18.545724999999972</c:v>
                </c:pt>
              </c:numCache>
            </c:numRef>
          </c:val>
        </c:ser>
        <c:ser>
          <c:idx val="2"/>
          <c:order val="2"/>
          <c:tx>
            <c:strRef>
              <c:f>Sheet1!$AT$165</c:f>
              <c:strCache>
                <c:ptCount val="1"/>
                <c:pt idx="0">
                  <c:v>Hydro storage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Sheet1!$AU$165:$BT$165</c:f>
              <c:numCache>
                <c:formatCode>General</c:formatCode>
                <c:ptCount val="26"/>
                <c:pt idx="0">
                  <c:v>19.71</c:v>
                </c:pt>
                <c:pt idx="1">
                  <c:v>0</c:v>
                </c:pt>
                <c:pt idx="2">
                  <c:v>18</c:v>
                </c:pt>
                <c:pt idx="3">
                  <c:v>19</c:v>
                </c:pt>
                <c:pt idx="4">
                  <c:v>19.3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18.59545983886747</c:v>
                </c:pt>
                <c:pt idx="18">
                  <c:v>18.497713793628552</c:v>
                </c:pt>
                <c:pt idx="19">
                  <c:v>18.899097261130127</c:v>
                </c:pt>
                <c:pt idx="20">
                  <c:v>19.346125840572366</c:v>
                </c:pt>
                <c:pt idx="21">
                  <c:v>19.374870111420364</c:v>
                </c:pt>
                <c:pt idx="22">
                  <c:v>19.353386419733891</c:v>
                </c:pt>
                <c:pt idx="23">
                  <c:v>18.166610495021082</c:v>
                </c:pt>
                <c:pt idx="24">
                  <c:v>17.939405000013664</c:v>
                </c:pt>
                <c:pt idx="25">
                  <c:v>17.939405000013636</c:v>
                </c:pt>
              </c:numCache>
            </c:numRef>
          </c:val>
        </c:ser>
        <c:ser>
          <c:idx val="4"/>
          <c:order val="3"/>
          <c:tx>
            <c:strRef>
              <c:f>Sheet1!$AT$166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Sheet1!$AU$166:$BT$166</c:f>
              <c:numCache>
                <c:formatCode>General</c:formatCode>
                <c:ptCount val="26"/>
                <c:pt idx="0">
                  <c:v>26.37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2.8191111111111113</c:v>
                </c:pt>
                <c:pt idx="16">
                  <c:v>2.8191111111111113</c:v>
                </c:pt>
                <c:pt idx="17">
                  <c:v>3.9104166666666669</c:v>
                </c:pt>
                <c:pt idx="18">
                  <c:v>3.9104166666666669</c:v>
                </c:pt>
                <c:pt idx="19">
                  <c:v>3.9104166666666669</c:v>
                </c:pt>
                <c:pt idx="20">
                  <c:v>3.9104166666666669</c:v>
                </c:pt>
                <c:pt idx="21">
                  <c:v>3.9104166666666669</c:v>
                </c:pt>
                <c:pt idx="22">
                  <c:v>3.9104166666666669</c:v>
                </c:pt>
                <c:pt idx="23">
                  <c:v>24.934416666666696</c:v>
                </c:pt>
                <c:pt idx="24">
                  <c:v>24.284600000000026</c:v>
                </c:pt>
                <c:pt idx="25">
                  <c:v>23.580131583506386</c:v>
                </c:pt>
              </c:numCache>
            </c:numRef>
          </c:val>
        </c:ser>
        <c:ser>
          <c:idx val="5"/>
          <c:order val="4"/>
          <c:tx>
            <c:strRef>
              <c:f>Sheet1!$AT$167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Sheet1!$AU$167:$BT$167</c:f>
              <c:numCache>
                <c:formatCode>General</c:formatCode>
                <c:ptCount val="26"/>
                <c:pt idx="0">
                  <c:v>0.84160000000000001</c:v>
                </c:pt>
                <c:pt idx="1">
                  <c:v>5.9999999999999991</c:v>
                </c:pt>
                <c:pt idx="2">
                  <c:v>0.88</c:v>
                </c:pt>
                <c:pt idx="3">
                  <c:v>1.48</c:v>
                </c:pt>
                <c:pt idx="4">
                  <c:v>2.08</c:v>
                </c:pt>
                <c:pt idx="5">
                  <c:v>2.52</c:v>
                </c:pt>
                <c:pt idx="6">
                  <c:v>2.52</c:v>
                </c:pt>
                <c:pt idx="7">
                  <c:v>2.52</c:v>
                </c:pt>
                <c:pt idx="8">
                  <c:v>4.4400000000000004</c:v>
                </c:pt>
                <c:pt idx="9">
                  <c:v>4.4400000000000004</c:v>
                </c:pt>
                <c:pt idx="10">
                  <c:v>4.4400000000000004</c:v>
                </c:pt>
                <c:pt idx="11">
                  <c:v>4.4400000000000004</c:v>
                </c:pt>
                <c:pt idx="12">
                  <c:v>4.4400000000000004</c:v>
                </c:pt>
                <c:pt idx="13">
                  <c:v>13.67</c:v>
                </c:pt>
                <c:pt idx="14">
                  <c:v>15.5</c:v>
                </c:pt>
                <c:pt idx="15">
                  <c:v>3.1194444444444441E-2</c:v>
                </c:pt>
                <c:pt idx="16">
                  <c:v>13.052027777777775</c:v>
                </c:pt>
                <c:pt idx="17">
                  <c:v>5.332558555831028</c:v>
                </c:pt>
                <c:pt idx="18">
                  <c:v>5.332558555831028</c:v>
                </c:pt>
                <c:pt idx="19">
                  <c:v>5.332558555831028</c:v>
                </c:pt>
                <c:pt idx="20">
                  <c:v>5.332558555831028</c:v>
                </c:pt>
                <c:pt idx="21">
                  <c:v>5.332558555831028</c:v>
                </c:pt>
                <c:pt idx="22">
                  <c:v>5.332558555831028</c:v>
                </c:pt>
                <c:pt idx="23">
                  <c:v>2.8293715983265</c:v>
                </c:pt>
                <c:pt idx="24">
                  <c:v>1.5729522976244694E-3</c:v>
                </c:pt>
                <c:pt idx="25">
                  <c:v>1.5398826919342443E-3</c:v>
                </c:pt>
              </c:numCache>
            </c:numRef>
          </c:val>
        </c:ser>
        <c:ser>
          <c:idx val="6"/>
          <c:order val="5"/>
          <c:tx>
            <c:strRef>
              <c:f>Sheet1!$AT$168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Sheet1!$AU$168:$BT$168</c:f>
              <c:numCache>
                <c:formatCode>General</c:formatCode>
                <c:ptCount val="26"/>
                <c:pt idx="0">
                  <c:v>0.1009</c:v>
                </c:pt>
                <c:pt idx="1">
                  <c:v>2.5</c:v>
                </c:pt>
                <c:pt idx="2">
                  <c:v>0.74</c:v>
                </c:pt>
                <c:pt idx="3">
                  <c:v>1.1400000000000001</c:v>
                </c:pt>
                <c:pt idx="4">
                  <c:v>1.54</c:v>
                </c:pt>
                <c:pt idx="5">
                  <c:v>0.77</c:v>
                </c:pt>
                <c:pt idx="6">
                  <c:v>0.77</c:v>
                </c:pt>
                <c:pt idx="7">
                  <c:v>0.77</c:v>
                </c:pt>
                <c:pt idx="8">
                  <c:v>1.76</c:v>
                </c:pt>
                <c:pt idx="9">
                  <c:v>1.76</c:v>
                </c:pt>
                <c:pt idx="10">
                  <c:v>1.76</c:v>
                </c:pt>
                <c:pt idx="11">
                  <c:v>1.76</c:v>
                </c:pt>
                <c:pt idx="12">
                  <c:v>1.76</c:v>
                </c:pt>
                <c:pt idx="13">
                  <c:v>4.45</c:v>
                </c:pt>
                <c:pt idx="14">
                  <c:v>3</c:v>
                </c:pt>
                <c:pt idx="15">
                  <c:v>0</c:v>
                </c:pt>
                <c:pt idx="16">
                  <c:v>4.1248888888888882</c:v>
                </c:pt>
                <c:pt idx="17">
                  <c:v>5.4450538233081396E-4</c:v>
                </c:pt>
                <c:pt idx="18">
                  <c:v>5.4450538233081396E-4</c:v>
                </c:pt>
                <c:pt idx="19">
                  <c:v>1.1531111111111001</c:v>
                </c:pt>
                <c:pt idx="20">
                  <c:v>1.1531111111111001</c:v>
                </c:pt>
                <c:pt idx="21">
                  <c:v>1.1531111111111001</c:v>
                </c:pt>
                <c:pt idx="22">
                  <c:v>1.1531111111111001</c:v>
                </c:pt>
                <c:pt idx="23">
                  <c:v>5.4450538233081396E-4</c:v>
                </c:pt>
                <c:pt idx="24">
                  <c:v>4.9156301387608614E-4</c:v>
                </c:pt>
                <c:pt idx="25">
                  <c:v>4.8056064167264996E-4</c:v>
                </c:pt>
              </c:numCache>
            </c:numRef>
          </c:val>
        </c:ser>
        <c:ser>
          <c:idx val="7"/>
          <c:order val="6"/>
          <c:tx>
            <c:strRef>
              <c:f>Sheet1!$AT$169</c:f>
              <c:strCache>
                <c:ptCount val="1"/>
                <c:pt idx="0">
                  <c:v>Biomass+Geo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Sheet1!$AU$169:$BT$169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4.2</c:v>
                </c:pt>
                <c:pt idx="3">
                  <c:v>5.3999999999999995</c:v>
                </c:pt>
                <c:pt idx="4">
                  <c:v>6.3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Sheet1!$AT$170</c:f>
              <c:strCache>
                <c:ptCount val="1"/>
                <c:pt idx="0">
                  <c:v>Geo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Sheet1!$AU$170:$BT$170</c:f>
              <c:numCache>
                <c:formatCode>General</c:formatCode>
                <c:ptCount val="26"/>
                <c:pt idx="0">
                  <c:v>0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0.39</c:v>
                </c:pt>
                <c:pt idx="6">
                  <c:v>0.39</c:v>
                </c:pt>
                <c:pt idx="7">
                  <c:v>0.39</c:v>
                </c:pt>
                <c:pt idx="8">
                  <c:v>1.43</c:v>
                </c:pt>
                <c:pt idx="9">
                  <c:v>1.43</c:v>
                </c:pt>
                <c:pt idx="10">
                  <c:v>1.43</c:v>
                </c:pt>
                <c:pt idx="11">
                  <c:v>1.43</c:v>
                </c:pt>
                <c:pt idx="12">
                  <c:v>1.43</c:v>
                </c:pt>
                <c:pt idx="13">
                  <c:v>0.92</c:v>
                </c:pt>
                <c:pt idx="14">
                  <c:v>1.6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1.0303959999999999</c:v>
                </c:pt>
                <c:pt idx="20">
                  <c:v>1.0303959999999999</c:v>
                </c:pt>
                <c:pt idx="21">
                  <c:v>1.0303959999999999</c:v>
                </c:pt>
                <c:pt idx="22">
                  <c:v>1.0303959999999999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9"/>
          <c:order val="8"/>
          <c:tx>
            <c:strRef>
              <c:f>Sheet1!$AT$171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Sheet1!$AU$171:$BT$171</c:f>
              <c:numCache>
                <c:formatCode>General</c:formatCode>
                <c:ptCount val="26"/>
                <c:pt idx="0">
                  <c:v>1.6287</c:v>
                </c:pt>
                <c:pt idx="1">
                  <c:v>5.5000000000000009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2.4300000000000002</c:v>
                </c:pt>
                <c:pt idx="6">
                  <c:v>2.4300000000000002</c:v>
                </c:pt>
                <c:pt idx="7">
                  <c:v>2.4300000000000002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4.9700000000000006</c:v>
                </c:pt>
                <c:pt idx="14">
                  <c:v>5.5500000000000007</c:v>
                </c:pt>
                <c:pt idx="15">
                  <c:v>0</c:v>
                </c:pt>
                <c:pt idx="16">
                  <c:v>1.0555555555555556</c:v>
                </c:pt>
                <c:pt idx="17">
                  <c:v>2.2361111111111138</c:v>
                </c:pt>
                <c:pt idx="18">
                  <c:v>2.2361111111111138</c:v>
                </c:pt>
                <c:pt idx="19">
                  <c:v>2.2361111111111138</c:v>
                </c:pt>
                <c:pt idx="20">
                  <c:v>2.2361111111111138</c:v>
                </c:pt>
                <c:pt idx="21">
                  <c:v>3.0571077706748335</c:v>
                </c:pt>
                <c:pt idx="22">
                  <c:v>3.2478688299783469</c:v>
                </c:pt>
                <c:pt idx="23">
                  <c:v>2.2361111111111138</c:v>
                </c:pt>
                <c:pt idx="24">
                  <c:v>1.4977159133789972</c:v>
                </c:pt>
                <c:pt idx="25">
                  <c:v>1.4977159133790001</c:v>
                </c:pt>
              </c:numCache>
            </c:numRef>
          </c:val>
        </c:ser>
        <c:ser>
          <c:idx val="10"/>
          <c:order val="9"/>
          <c:tx>
            <c:strRef>
              <c:f>Sheet1!$AT$172</c:f>
              <c:strCache>
                <c:ptCount val="1"/>
                <c:pt idx="0">
                  <c:v>Gas+Net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>
                  <a:lumMod val="65000"/>
                </a:schemeClr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Sheet1!$AU$172:$BT$172</c:f>
              <c:numCache>
                <c:formatCode>General</c:formatCode>
                <c:ptCount val="26"/>
                <c:pt idx="0">
                  <c:v>0</c:v>
                </c:pt>
                <c:pt idx="1">
                  <c:v>11.399999999999999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1"/>
          <c:order val="10"/>
          <c:tx>
            <c:strRef>
              <c:f>Sheet1!$AT$173</c:f>
              <c:strCache>
                <c:ptCount val="1"/>
                <c:pt idx="0">
                  <c:v>Gas, Fossils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Sheet1!$AU$173:$BT$173</c:f>
              <c:numCache>
                <c:formatCode>General</c:formatCode>
                <c:ptCount val="26"/>
                <c:pt idx="0">
                  <c:v>1.3837999999999999</c:v>
                </c:pt>
                <c:pt idx="1">
                  <c:v>0</c:v>
                </c:pt>
                <c:pt idx="2">
                  <c:v>20</c:v>
                </c:pt>
                <c:pt idx="3">
                  <c:v>13</c:v>
                </c:pt>
                <c:pt idx="4">
                  <c:v>1</c:v>
                </c:pt>
                <c:pt idx="5">
                  <c:v>29.32</c:v>
                </c:pt>
                <c:pt idx="6">
                  <c:v>22.28</c:v>
                </c:pt>
                <c:pt idx="7">
                  <c:v>19.22</c:v>
                </c:pt>
                <c:pt idx="8">
                  <c:v>3.58</c:v>
                </c:pt>
                <c:pt idx="9">
                  <c:v>3.58</c:v>
                </c:pt>
                <c:pt idx="10">
                  <c:v>22.24</c:v>
                </c:pt>
                <c:pt idx="11">
                  <c:v>15.2</c:v>
                </c:pt>
                <c:pt idx="12">
                  <c:v>12.7</c:v>
                </c:pt>
                <c:pt idx="13">
                  <c:v>4</c:v>
                </c:pt>
                <c:pt idx="14">
                  <c:v>1.95</c:v>
                </c:pt>
                <c:pt idx="15">
                  <c:v>38.417694444444436</c:v>
                </c:pt>
                <c:pt idx="16">
                  <c:v>14.486833333333333</c:v>
                </c:pt>
                <c:pt idx="17">
                  <c:v>18.091963698630163</c:v>
                </c:pt>
                <c:pt idx="18">
                  <c:v>12.726419399286277</c:v>
                </c:pt>
                <c:pt idx="19">
                  <c:v>9.1136193221043609</c:v>
                </c:pt>
                <c:pt idx="20">
                  <c:v>3.6595147225768232E-2</c:v>
                </c:pt>
                <c:pt idx="21">
                  <c:v>3.6885258128199927E-2</c:v>
                </c:pt>
                <c:pt idx="22">
                  <c:v>2.7624615372819111E-2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2"/>
          <c:order val="11"/>
          <c:tx>
            <c:strRef>
              <c:f>Sheet1!$AT$174</c:f>
              <c:strCache>
                <c:ptCount val="1"/>
                <c:pt idx="0">
                  <c:v>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Sheet1!$AU$174:$BT$174</c:f>
              <c:numCache>
                <c:formatCode>General</c:formatCode>
                <c:ptCount val="26"/>
                <c:pt idx="0">
                  <c:v>-5.4909999999999997</c:v>
                </c:pt>
                <c:pt idx="1">
                  <c:v>0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0.35000000000000009</c:v>
                </c:pt>
                <c:pt idx="6">
                  <c:v>0.35000000000000009</c:v>
                </c:pt>
                <c:pt idx="7">
                  <c:v>0.35000000000000009</c:v>
                </c:pt>
                <c:pt idx="8">
                  <c:v>11.98</c:v>
                </c:pt>
                <c:pt idx="9">
                  <c:v>8.92</c:v>
                </c:pt>
                <c:pt idx="10">
                  <c:v>0.35000000000000009</c:v>
                </c:pt>
                <c:pt idx="11">
                  <c:v>0.35000000000000009</c:v>
                </c:pt>
                <c:pt idx="12">
                  <c:v>-0.20999999999999996</c:v>
                </c:pt>
                <c:pt idx="13">
                  <c:v>9.9</c:v>
                </c:pt>
                <c:pt idx="14">
                  <c:v>6.5</c:v>
                </c:pt>
                <c:pt idx="15">
                  <c:v>0</c:v>
                </c:pt>
                <c:pt idx="16">
                  <c:v>0</c:v>
                </c:pt>
                <c:pt idx="17">
                  <c:v>3.3040237212844659E-13</c:v>
                </c:pt>
                <c:pt idx="18">
                  <c:v>5.6843418860808015E-14</c:v>
                </c:pt>
                <c:pt idx="19">
                  <c:v>-8.5265128291212022E-14</c:v>
                </c:pt>
                <c:pt idx="20">
                  <c:v>15.121739943936946</c:v>
                </c:pt>
                <c:pt idx="21">
                  <c:v>8.8084185580350045</c:v>
                </c:pt>
                <c:pt idx="22">
                  <c:v>7.619947829241724</c:v>
                </c:pt>
                <c:pt idx="23">
                  <c:v>0</c:v>
                </c:pt>
                <c:pt idx="24">
                  <c:v>0</c:v>
                </c:pt>
                <c:pt idx="25">
                  <c:v>3.5882408155885059E-13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0947584"/>
        <c:axId val="200949120"/>
      </c:barChart>
      <c:catAx>
        <c:axId val="20094758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200949120"/>
        <c:crosses val="autoZero"/>
        <c:auto val="1"/>
        <c:lblAlgn val="ctr"/>
        <c:lblOffset val="100"/>
        <c:noMultiLvlLbl val="0"/>
      </c:catAx>
      <c:valAx>
        <c:axId val="200949120"/>
        <c:scaling>
          <c:orientation val="minMax"/>
          <c:max val="90"/>
          <c:min val="-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CH" sz="1100"/>
                  <a:t>Supply 2035 (TWh/y)</a:t>
                </a:r>
                <a:r>
                  <a:rPr lang="de-CH" sz="1100" baseline="0"/>
                  <a:t> </a:t>
                </a:r>
                <a:endParaRPr lang="de-CH" sz="11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009475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65824535307503"/>
          <c:y val="3.042718689463466E-2"/>
          <c:w val="0.19306825938844677"/>
          <c:h val="0.755472107630860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Sheet1!$AT$186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Sheet1!$AU$186:$BT$186</c:f>
              <c:numCache>
                <c:formatCode>General</c:formatCode>
                <c:ptCount val="26"/>
                <c:pt idx="0">
                  <c:v>0</c:v>
                </c:pt>
                <c:pt idx="1">
                  <c:v>38.166666666666664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34.230000000000004</c:v>
                </c:pt>
                <c:pt idx="6">
                  <c:v>34.230000000000004</c:v>
                </c:pt>
                <c:pt idx="7">
                  <c:v>34.230000000000004</c:v>
                </c:pt>
                <c:pt idx="8">
                  <c:v>35.130000000000003</c:v>
                </c:pt>
                <c:pt idx="9">
                  <c:v>35.130000000000003</c:v>
                </c:pt>
                <c:pt idx="10">
                  <c:v>35.130000000000003</c:v>
                </c:pt>
                <c:pt idx="11">
                  <c:v>35.130000000000003</c:v>
                </c:pt>
                <c:pt idx="12">
                  <c:v>35.130000000000003</c:v>
                </c:pt>
                <c:pt idx="13">
                  <c:v>34.46</c:v>
                </c:pt>
                <c:pt idx="14">
                  <c:v>34.506</c:v>
                </c:pt>
                <c:pt idx="15">
                  <c:v>35.507166666666663</c:v>
                </c:pt>
                <c:pt idx="16">
                  <c:v>36.532777777777774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Sheet1!$AT$187</c:f>
              <c:strCache>
                <c:ptCount val="1"/>
                <c:pt idx="0">
                  <c:v>Hydro river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Sheet1!$AU$187:$BT$187</c:f>
              <c:numCache>
                <c:formatCode>General</c:formatCode>
                <c:ptCount val="26"/>
                <c:pt idx="0">
                  <c:v>17.242999999999999</c:v>
                </c:pt>
                <c:pt idx="1">
                  <c:v>0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18.407237500000001</c:v>
                </c:pt>
                <c:pt idx="18">
                  <c:v>18.407237500000001</c:v>
                </c:pt>
                <c:pt idx="19">
                  <c:v>18.407237500000001</c:v>
                </c:pt>
                <c:pt idx="20">
                  <c:v>18.407237500000001</c:v>
                </c:pt>
                <c:pt idx="21">
                  <c:v>18.407237500000001</c:v>
                </c:pt>
                <c:pt idx="22">
                  <c:v>18.407237500000001</c:v>
                </c:pt>
                <c:pt idx="23">
                  <c:v>18.407237500000001</c:v>
                </c:pt>
                <c:pt idx="24">
                  <c:v>18.407237500000001</c:v>
                </c:pt>
                <c:pt idx="25">
                  <c:v>18.407237500000001</c:v>
                </c:pt>
              </c:numCache>
            </c:numRef>
          </c:val>
        </c:ser>
        <c:ser>
          <c:idx val="2"/>
          <c:order val="2"/>
          <c:tx>
            <c:strRef>
              <c:f>Sheet1!$AT$188</c:f>
              <c:strCache>
                <c:ptCount val="1"/>
                <c:pt idx="0">
                  <c:v>Hydro storage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Sheet1!$AU$188:$BT$188</c:f>
              <c:numCache>
                <c:formatCode>General</c:formatCode>
                <c:ptCount val="26"/>
                <c:pt idx="0">
                  <c:v>19.71</c:v>
                </c:pt>
                <c:pt idx="1">
                  <c:v>0</c:v>
                </c:pt>
                <c:pt idx="2">
                  <c:v>19</c:v>
                </c:pt>
                <c:pt idx="3">
                  <c:v>19</c:v>
                </c:pt>
                <c:pt idx="4">
                  <c:v>19.2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18.568188010071172</c:v>
                </c:pt>
                <c:pt idx="18">
                  <c:v>18.443270306278691</c:v>
                </c:pt>
                <c:pt idx="19">
                  <c:v>18.773943544626761</c:v>
                </c:pt>
                <c:pt idx="20">
                  <c:v>19.280437920286168</c:v>
                </c:pt>
                <c:pt idx="21">
                  <c:v>19.135150188185229</c:v>
                </c:pt>
                <c:pt idx="22">
                  <c:v>19.121028393515143</c:v>
                </c:pt>
                <c:pt idx="23">
                  <c:v>18.650199659300096</c:v>
                </c:pt>
                <c:pt idx="24">
                  <c:v>18.120500562684711</c:v>
                </c:pt>
                <c:pt idx="25">
                  <c:v>18.397884693750534</c:v>
                </c:pt>
              </c:numCache>
            </c:numRef>
          </c:val>
        </c:ser>
        <c:ser>
          <c:idx val="4"/>
          <c:order val="3"/>
          <c:tx>
            <c:strRef>
              <c:f>Sheet1!$AT$189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Sheet1!$AU$189:$BT$189</c:f>
              <c:numCache>
                <c:formatCode>General</c:formatCode>
                <c:ptCount val="26"/>
                <c:pt idx="0">
                  <c:v>26.37</c:v>
                </c:pt>
                <c:pt idx="1">
                  <c:v>13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8.81</c:v>
                </c:pt>
                <c:pt idx="6">
                  <c:v>8.81</c:v>
                </c:pt>
                <c:pt idx="7">
                  <c:v>8.81</c:v>
                </c:pt>
                <c:pt idx="8">
                  <c:v>8.81</c:v>
                </c:pt>
                <c:pt idx="9">
                  <c:v>8.81</c:v>
                </c:pt>
                <c:pt idx="10">
                  <c:v>8.81</c:v>
                </c:pt>
                <c:pt idx="11">
                  <c:v>8.81</c:v>
                </c:pt>
                <c:pt idx="12">
                  <c:v>8.81</c:v>
                </c:pt>
                <c:pt idx="13">
                  <c:v>8.6</c:v>
                </c:pt>
                <c:pt idx="14">
                  <c:v>0</c:v>
                </c:pt>
                <c:pt idx="15">
                  <c:v>11.780666666666665</c:v>
                </c:pt>
                <c:pt idx="16">
                  <c:v>11.780666666666665</c:v>
                </c:pt>
                <c:pt idx="17">
                  <c:v>10.654208333333333</c:v>
                </c:pt>
                <c:pt idx="18">
                  <c:v>10.654208333333333</c:v>
                </c:pt>
                <c:pt idx="19">
                  <c:v>10.654208333333333</c:v>
                </c:pt>
                <c:pt idx="20">
                  <c:v>10.654208333333333</c:v>
                </c:pt>
                <c:pt idx="21">
                  <c:v>10.654208333333333</c:v>
                </c:pt>
                <c:pt idx="22">
                  <c:v>10.654208333333333</c:v>
                </c:pt>
                <c:pt idx="23">
                  <c:v>21.166208333333348</c:v>
                </c:pt>
                <c:pt idx="24">
                  <c:v>20.841300000000011</c:v>
                </c:pt>
                <c:pt idx="25">
                  <c:v>20.489065791753191</c:v>
                </c:pt>
              </c:numCache>
            </c:numRef>
          </c:val>
        </c:ser>
        <c:ser>
          <c:idx val="5"/>
          <c:order val="4"/>
          <c:tx>
            <c:strRef>
              <c:f>Sheet1!$AT$190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Sheet1!$AU$190:$BT$190</c:f>
              <c:numCache>
                <c:formatCode>General</c:formatCode>
                <c:ptCount val="26"/>
                <c:pt idx="0">
                  <c:v>0.84160000000000001</c:v>
                </c:pt>
                <c:pt idx="1">
                  <c:v>4.4666666666666668</c:v>
                </c:pt>
                <c:pt idx="2">
                  <c:v>0.72000000000000008</c:v>
                </c:pt>
                <c:pt idx="3">
                  <c:v>1.2</c:v>
                </c:pt>
                <c:pt idx="4">
                  <c:v>1.6800000000000002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1.91</c:v>
                </c:pt>
                <c:pt idx="9">
                  <c:v>1.91</c:v>
                </c:pt>
                <c:pt idx="10">
                  <c:v>1.91</c:v>
                </c:pt>
                <c:pt idx="11">
                  <c:v>1.91</c:v>
                </c:pt>
                <c:pt idx="12">
                  <c:v>1.91</c:v>
                </c:pt>
                <c:pt idx="13">
                  <c:v>9.76</c:v>
                </c:pt>
                <c:pt idx="14">
                  <c:v>15</c:v>
                </c:pt>
                <c:pt idx="15">
                  <c:v>4.1555555555555561E-2</c:v>
                </c:pt>
                <c:pt idx="16">
                  <c:v>1.6070833333333332</c:v>
                </c:pt>
                <c:pt idx="17">
                  <c:v>2.6749389699563091</c:v>
                </c:pt>
                <c:pt idx="18">
                  <c:v>2.6749389699563091</c:v>
                </c:pt>
                <c:pt idx="19">
                  <c:v>2.6749389699563091</c:v>
                </c:pt>
                <c:pt idx="20">
                  <c:v>2.6749389699563091</c:v>
                </c:pt>
                <c:pt idx="21">
                  <c:v>2.6749389699563091</c:v>
                </c:pt>
                <c:pt idx="22">
                  <c:v>2.6749389699563091</c:v>
                </c:pt>
                <c:pt idx="23">
                  <c:v>1.4233454912040451</c:v>
                </c:pt>
                <c:pt idx="24">
                  <c:v>9.4461681896072201E-3</c:v>
                </c:pt>
                <c:pt idx="25">
                  <c:v>9.4296333867621082E-3</c:v>
                </c:pt>
              </c:numCache>
            </c:numRef>
          </c:val>
        </c:ser>
        <c:ser>
          <c:idx val="6"/>
          <c:order val="5"/>
          <c:tx>
            <c:strRef>
              <c:f>Sheet1!$AT$191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Sheet1!$AU$191:$BT$191</c:f>
              <c:numCache>
                <c:formatCode>General</c:formatCode>
                <c:ptCount val="26"/>
                <c:pt idx="0">
                  <c:v>0.1009</c:v>
                </c:pt>
                <c:pt idx="1">
                  <c:v>1.8666666666666663</c:v>
                </c:pt>
                <c:pt idx="2">
                  <c:v>0.6</c:v>
                </c:pt>
                <c:pt idx="3">
                  <c:v>0.92000000000000015</c:v>
                </c:pt>
                <c:pt idx="4">
                  <c:v>1.2400000000000002</c:v>
                </c:pt>
                <c:pt idx="5">
                  <c:v>0.56999999999999995</c:v>
                </c:pt>
                <c:pt idx="6">
                  <c:v>0.56999999999999995</c:v>
                </c:pt>
                <c:pt idx="7">
                  <c:v>0.56999999999999995</c:v>
                </c:pt>
                <c:pt idx="8">
                  <c:v>1.46</c:v>
                </c:pt>
                <c:pt idx="9">
                  <c:v>1.46</c:v>
                </c:pt>
                <c:pt idx="10">
                  <c:v>1.46</c:v>
                </c:pt>
                <c:pt idx="11">
                  <c:v>1.46</c:v>
                </c:pt>
                <c:pt idx="12">
                  <c:v>1.46</c:v>
                </c:pt>
                <c:pt idx="13">
                  <c:v>3.02</c:v>
                </c:pt>
                <c:pt idx="14">
                  <c:v>2.6</c:v>
                </c:pt>
                <c:pt idx="15">
                  <c:v>0</c:v>
                </c:pt>
                <c:pt idx="16">
                  <c:v>4.0998888888888887</c:v>
                </c:pt>
                <c:pt idx="17">
                  <c:v>2.9947796028194761E-3</c:v>
                </c:pt>
                <c:pt idx="18">
                  <c:v>2.9947796028194761E-3</c:v>
                </c:pt>
                <c:pt idx="19">
                  <c:v>0.57927808246720414</c:v>
                </c:pt>
                <c:pt idx="20">
                  <c:v>0.91515582723438205</c:v>
                </c:pt>
                <c:pt idx="21">
                  <c:v>0.57927808246720414</c:v>
                </c:pt>
                <c:pt idx="22">
                  <c:v>0.57927808246720414</c:v>
                </c:pt>
                <c:pt idx="23">
                  <c:v>2.9947796028194761E-3</c:v>
                </c:pt>
                <c:pt idx="24">
                  <c:v>2.9683084185921126E-3</c:v>
                </c:pt>
                <c:pt idx="25">
                  <c:v>2.9628072324903942E-3</c:v>
                </c:pt>
              </c:numCache>
            </c:numRef>
          </c:val>
        </c:ser>
        <c:ser>
          <c:idx val="7"/>
          <c:order val="6"/>
          <c:tx>
            <c:strRef>
              <c:f>Sheet1!$AT$192</c:f>
              <c:strCache>
                <c:ptCount val="1"/>
                <c:pt idx="0">
                  <c:v>Biomass+Geo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Sheet1!$AU$192:$BT$192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3.62</c:v>
                </c:pt>
                <c:pt idx="3">
                  <c:v>4.5799999999999992</c:v>
                </c:pt>
                <c:pt idx="4">
                  <c:v>5.3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Sheet1!$AT$193</c:f>
              <c:strCache>
                <c:ptCount val="1"/>
                <c:pt idx="0">
                  <c:v>Geo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Sheet1!$AU$193:$BT$193</c:f>
              <c:numCache>
                <c:formatCode>General</c:formatCode>
                <c:ptCount val="26"/>
                <c:pt idx="0">
                  <c:v>0</c:v>
                </c:pt>
                <c:pt idx="1">
                  <c:v>1.0666666666666667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0.19</c:v>
                </c:pt>
                <c:pt idx="14">
                  <c:v>0.8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0.61898527968639039</c:v>
                </c:pt>
                <c:pt idx="20">
                  <c:v>0.78796299999999997</c:v>
                </c:pt>
                <c:pt idx="21">
                  <c:v>0.6779169866074708</c:v>
                </c:pt>
                <c:pt idx="22">
                  <c:v>0.51519799999999993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9"/>
          <c:order val="8"/>
          <c:tx>
            <c:strRef>
              <c:f>Sheet1!$AT$194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Sheet1!$AU$194:$BT$194</c:f>
              <c:numCache>
                <c:formatCode>General</c:formatCode>
                <c:ptCount val="26"/>
                <c:pt idx="0">
                  <c:v>1.6287</c:v>
                </c:pt>
                <c:pt idx="1">
                  <c:v>4.1666666666666661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2.42</c:v>
                </c:pt>
                <c:pt idx="6">
                  <c:v>2.42</c:v>
                </c:pt>
                <c:pt idx="7">
                  <c:v>2.42</c:v>
                </c:pt>
                <c:pt idx="8">
                  <c:v>4.09</c:v>
                </c:pt>
                <c:pt idx="9">
                  <c:v>4.09</c:v>
                </c:pt>
                <c:pt idx="10">
                  <c:v>4.09</c:v>
                </c:pt>
                <c:pt idx="11">
                  <c:v>4.09</c:v>
                </c:pt>
                <c:pt idx="12">
                  <c:v>4.09</c:v>
                </c:pt>
                <c:pt idx="13">
                  <c:v>4.79</c:v>
                </c:pt>
                <c:pt idx="14">
                  <c:v>4.7</c:v>
                </c:pt>
                <c:pt idx="15">
                  <c:v>0</c:v>
                </c:pt>
                <c:pt idx="16">
                  <c:v>0.9192499999999999</c:v>
                </c:pt>
                <c:pt idx="17">
                  <c:v>2.2361111111111125</c:v>
                </c:pt>
                <c:pt idx="18">
                  <c:v>2.2361111111111125</c:v>
                </c:pt>
                <c:pt idx="19">
                  <c:v>2.2361111111111125</c:v>
                </c:pt>
                <c:pt idx="20">
                  <c:v>2.2687713869679271</c:v>
                </c:pt>
                <c:pt idx="21">
                  <c:v>2.6466094408929721</c:v>
                </c:pt>
                <c:pt idx="22">
                  <c:v>2.7419899705447293</c:v>
                </c:pt>
                <c:pt idx="23">
                  <c:v>2.2361111111111125</c:v>
                </c:pt>
                <c:pt idx="24">
                  <c:v>1.8669135122450542</c:v>
                </c:pt>
                <c:pt idx="25">
                  <c:v>1.8669135122450555</c:v>
                </c:pt>
              </c:numCache>
            </c:numRef>
          </c:val>
        </c:ser>
        <c:ser>
          <c:idx val="10"/>
          <c:order val="9"/>
          <c:tx>
            <c:strRef>
              <c:f>Sheet1!$AT$195</c:f>
              <c:strCache>
                <c:ptCount val="1"/>
                <c:pt idx="0">
                  <c:v>Gas+Net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>
                  <a:lumMod val="65000"/>
                </a:schemeClr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Sheet1!$AU$195:$BT$195</c:f>
              <c:numCache>
                <c:formatCode>General</c:formatCode>
                <c:ptCount val="26"/>
                <c:pt idx="0">
                  <c:v>0</c:v>
                </c:pt>
                <c:pt idx="1">
                  <c:v>10.599999999999993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1"/>
          <c:order val="10"/>
          <c:tx>
            <c:strRef>
              <c:f>Sheet1!$AT$196</c:f>
              <c:strCache>
                <c:ptCount val="1"/>
                <c:pt idx="0">
                  <c:v>Gas, Fossils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Sheet1!$AU$196:$BT$196</c:f>
              <c:numCache>
                <c:formatCode>General</c:formatCode>
                <c:ptCount val="26"/>
                <c:pt idx="0">
                  <c:v>1.3837999999999999</c:v>
                </c:pt>
                <c:pt idx="1">
                  <c:v>0</c:v>
                </c:pt>
                <c:pt idx="2">
                  <c:v>13</c:v>
                </c:pt>
                <c:pt idx="3">
                  <c:v>9</c:v>
                </c:pt>
                <c:pt idx="4">
                  <c:v>2</c:v>
                </c:pt>
                <c:pt idx="5">
                  <c:v>15.34</c:v>
                </c:pt>
                <c:pt idx="6">
                  <c:v>10.02</c:v>
                </c:pt>
                <c:pt idx="7">
                  <c:v>8.94</c:v>
                </c:pt>
                <c:pt idx="8">
                  <c:v>3.62</c:v>
                </c:pt>
                <c:pt idx="9">
                  <c:v>3.62</c:v>
                </c:pt>
                <c:pt idx="10">
                  <c:v>11.16</c:v>
                </c:pt>
                <c:pt idx="11">
                  <c:v>7.79</c:v>
                </c:pt>
                <c:pt idx="12">
                  <c:v>6.71</c:v>
                </c:pt>
                <c:pt idx="13">
                  <c:v>3.8</c:v>
                </c:pt>
                <c:pt idx="14">
                  <c:v>2.4</c:v>
                </c:pt>
                <c:pt idx="15">
                  <c:v>24.973777777777777</c:v>
                </c:pt>
                <c:pt idx="16">
                  <c:v>15.049250000000001</c:v>
                </c:pt>
                <c:pt idx="17">
                  <c:v>14.190901403806414</c:v>
                </c:pt>
                <c:pt idx="18">
                  <c:v>9.28017949530153</c:v>
                </c:pt>
                <c:pt idx="19">
                  <c:v>6.7197538633872789</c:v>
                </c:pt>
                <c:pt idx="20">
                  <c:v>0.205591949698927</c:v>
                </c:pt>
                <c:pt idx="21">
                  <c:v>0.20138683139919858</c:v>
                </c:pt>
                <c:pt idx="22">
                  <c:v>0.15535409136703038</c:v>
                </c:pt>
                <c:pt idx="23">
                  <c:v>4.8484832333279293</c:v>
                </c:pt>
                <c:pt idx="24">
                  <c:v>2.9605851424468761</c:v>
                </c:pt>
                <c:pt idx="25">
                  <c:v>2.1629442023350984</c:v>
                </c:pt>
              </c:numCache>
            </c:numRef>
          </c:val>
        </c:ser>
        <c:ser>
          <c:idx val="12"/>
          <c:order val="11"/>
          <c:tx>
            <c:strRef>
              <c:f>Sheet1!$AT$197</c:f>
              <c:strCache>
                <c:ptCount val="1"/>
                <c:pt idx="0">
                  <c:v>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Sheet1!$AU$197:$BT$197</c:f>
              <c:numCache>
                <c:formatCode>General</c:formatCode>
                <c:ptCount val="26"/>
                <c:pt idx="0">
                  <c:v>-5.4909999999999997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6.16</c:v>
                </c:pt>
                <c:pt idx="6">
                  <c:v>5.35</c:v>
                </c:pt>
                <c:pt idx="7">
                  <c:v>4.46</c:v>
                </c:pt>
                <c:pt idx="8">
                  <c:v>6.89</c:v>
                </c:pt>
                <c:pt idx="9">
                  <c:v>4.9399999999999995</c:v>
                </c:pt>
                <c:pt idx="10">
                  <c:v>5.48</c:v>
                </c:pt>
                <c:pt idx="11">
                  <c:v>2.7199999999999998</c:v>
                </c:pt>
                <c:pt idx="12">
                  <c:v>1.8399999999999999</c:v>
                </c:pt>
                <c:pt idx="13">
                  <c:v>7.1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1.6520118606422329E-13</c:v>
                </c:pt>
                <c:pt idx="18">
                  <c:v>2.8421709430404007E-14</c:v>
                </c:pt>
                <c:pt idx="19">
                  <c:v>9.4146912488213275E-14</c:v>
                </c:pt>
                <c:pt idx="20">
                  <c:v>11.540275220372973</c:v>
                </c:pt>
                <c:pt idx="21">
                  <c:v>6.722214162710932</c:v>
                </c:pt>
                <c:pt idx="22">
                  <c:v>5.8152233433686416</c:v>
                </c:pt>
                <c:pt idx="23">
                  <c:v>0</c:v>
                </c:pt>
                <c:pt idx="24">
                  <c:v>0</c:v>
                </c:pt>
                <c:pt idx="25">
                  <c:v>1.794120407794253E-13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0999296"/>
        <c:axId val="201000832"/>
      </c:barChart>
      <c:catAx>
        <c:axId val="20099929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201000832"/>
        <c:crosses val="autoZero"/>
        <c:auto val="1"/>
        <c:lblAlgn val="ctr"/>
        <c:lblOffset val="100"/>
        <c:noMultiLvlLbl val="0"/>
      </c:catAx>
      <c:valAx>
        <c:axId val="201000832"/>
        <c:scaling>
          <c:orientation val="minMax"/>
          <c:max val="90"/>
          <c:min val="-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CH" sz="1100"/>
                  <a:t>Supply 2030 (TWh/y)</a:t>
                </a:r>
                <a:r>
                  <a:rPr lang="de-CH" sz="1100" baseline="0"/>
                  <a:t> </a:t>
                </a:r>
                <a:endParaRPr lang="de-CH" sz="1100"/>
              </a:p>
            </c:rich>
          </c:tx>
          <c:layout>
            <c:manualLayout>
              <c:xMode val="edge"/>
              <c:yMode val="edge"/>
              <c:x val="2.2423455341739708E-2"/>
              <c:y val="0.1804315122479812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099929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65824535307503"/>
          <c:y val="3.042718689463466E-2"/>
          <c:w val="0.19306825938844677"/>
          <c:h val="0.755472107630860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Sheet1!$AT$209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Sheet1!$AU$209:$BT$209</c:f>
              <c:numCache>
                <c:formatCode>General</c:formatCode>
                <c:ptCount val="26"/>
                <c:pt idx="0">
                  <c:v>0</c:v>
                </c:pt>
                <c:pt idx="1">
                  <c:v>36.5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33.94</c:v>
                </c:pt>
                <c:pt idx="6">
                  <c:v>33.94</c:v>
                </c:pt>
                <c:pt idx="7">
                  <c:v>33.94</c:v>
                </c:pt>
                <c:pt idx="8">
                  <c:v>34.42</c:v>
                </c:pt>
                <c:pt idx="9">
                  <c:v>34.42</c:v>
                </c:pt>
                <c:pt idx="10">
                  <c:v>34.42</c:v>
                </c:pt>
                <c:pt idx="11">
                  <c:v>34.42</c:v>
                </c:pt>
                <c:pt idx="12">
                  <c:v>34.42</c:v>
                </c:pt>
                <c:pt idx="13">
                  <c:v>34.380000000000003</c:v>
                </c:pt>
                <c:pt idx="14">
                  <c:v>33.506</c:v>
                </c:pt>
                <c:pt idx="15">
                  <c:v>35.229916666666668</c:v>
                </c:pt>
                <c:pt idx="16">
                  <c:v>35.742694444444446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Sheet1!$AT$210</c:f>
              <c:strCache>
                <c:ptCount val="1"/>
                <c:pt idx="0">
                  <c:v>Hydro river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Sheet1!$AU$210:$BT$210</c:f>
              <c:numCache>
                <c:formatCode>General</c:formatCode>
                <c:ptCount val="26"/>
                <c:pt idx="0">
                  <c:v>14.733000000000001</c:v>
                </c:pt>
                <c:pt idx="1">
                  <c:v>0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18.114874999999973</c:v>
                </c:pt>
                <c:pt idx="18">
                  <c:v>18.114874999999973</c:v>
                </c:pt>
                <c:pt idx="19">
                  <c:v>18.114874999999973</c:v>
                </c:pt>
                <c:pt idx="20">
                  <c:v>18.114874999999973</c:v>
                </c:pt>
                <c:pt idx="21">
                  <c:v>18.114874999999973</c:v>
                </c:pt>
                <c:pt idx="22">
                  <c:v>18.114874999999973</c:v>
                </c:pt>
                <c:pt idx="23">
                  <c:v>18.114874999999973</c:v>
                </c:pt>
                <c:pt idx="24">
                  <c:v>18.114874999999973</c:v>
                </c:pt>
                <c:pt idx="25">
                  <c:v>18.114874999999973</c:v>
                </c:pt>
              </c:numCache>
            </c:numRef>
          </c:val>
        </c:ser>
        <c:ser>
          <c:idx val="2"/>
          <c:order val="2"/>
          <c:tx>
            <c:strRef>
              <c:f>Sheet1!$AT$211</c:f>
              <c:strCache>
                <c:ptCount val="1"/>
                <c:pt idx="0">
                  <c:v>Hydro storage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Sheet1!$AU$211:$BT$211</c:f>
              <c:numCache>
                <c:formatCode>General</c:formatCode>
                <c:ptCount val="26"/>
                <c:pt idx="0">
                  <c:v>16.596</c:v>
                </c:pt>
                <c:pt idx="1">
                  <c:v>0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18.488139903610698</c:v>
                </c:pt>
                <c:pt idx="18">
                  <c:v>18.30558542843325</c:v>
                </c:pt>
                <c:pt idx="19">
                  <c:v>18.476852643439628</c:v>
                </c:pt>
                <c:pt idx="20">
                  <c:v>18.750671694611533</c:v>
                </c:pt>
                <c:pt idx="21">
                  <c:v>18.730209013789388</c:v>
                </c:pt>
                <c:pt idx="22">
                  <c:v>18.729961319907897</c:v>
                </c:pt>
                <c:pt idx="23">
                  <c:v>18.74038190961106</c:v>
                </c:pt>
                <c:pt idx="24">
                  <c:v>18.242067382988999</c:v>
                </c:pt>
                <c:pt idx="25">
                  <c:v>18.476852643439631</c:v>
                </c:pt>
              </c:numCache>
            </c:numRef>
          </c:val>
        </c:ser>
        <c:ser>
          <c:idx val="4"/>
          <c:order val="3"/>
          <c:tx>
            <c:strRef>
              <c:f>Sheet1!$AT$212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Sheet1!$AU$212:$BT$212</c:f>
              <c:numCache>
                <c:formatCode>General</c:formatCode>
                <c:ptCount val="26"/>
                <c:pt idx="0">
                  <c:v>25.56</c:v>
                </c:pt>
                <c:pt idx="1">
                  <c:v>25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21.68</c:v>
                </c:pt>
                <c:pt idx="6">
                  <c:v>21.68</c:v>
                </c:pt>
                <c:pt idx="7">
                  <c:v>21.68</c:v>
                </c:pt>
                <c:pt idx="8">
                  <c:v>21.68</c:v>
                </c:pt>
                <c:pt idx="9">
                  <c:v>21.68</c:v>
                </c:pt>
                <c:pt idx="10">
                  <c:v>21.68</c:v>
                </c:pt>
                <c:pt idx="11">
                  <c:v>21.68</c:v>
                </c:pt>
                <c:pt idx="12">
                  <c:v>21.68</c:v>
                </c:pt>
                <c:pt idx="13">
                  <c:v>21.7</c:v>
                </c:pt>
                <c:pt idx="14">
                  <c:v>16</c:v>
                </c:pt>
                <c:pt idx="15">
                  <c:v>23.583222222222219</c:v>
                </c:pt>
                <c:pt idx="16">
                  <c:v>23.583222222222219</c:v>
                </c:pt>
                <c:pt idx="17">
                  <c:v>22.834200000000028</c:v>
                </c:pt>
                <c:pt idx="18">
                  <c:v>22.834200000000028</c:v>
                </c:pt>
                <c:pt idx="19">
                  <c:v>22.834200000000028</c:v>
                </c:pt>
                <c:pt idx="20">
                  <c:v>22.834200000000028</c:v>
                </c:pt>
                <c:pt idx="21">
                  <c:v>22.834200000000028</c:v>
                </c:pt>
                <c:pt idx="22">
                  <c:v>22.834200000000028</c:v>
                </c:pt>
                <c:pt idx="23">
                  <c:v>22.834200000000028</c:v>
                </c:pt>
                <c:pt idx="24">
                  <c:v>22.834200000000028</c:v>
                </c:pt>
                <c:pt idx="25">
                  <c:v>22.834200000000028</c:v>
                </c:pt>
              </c:numCache>
            </c:numRef>
          </c:val>
        </c:ser>
        <c:ser>
          <c:idx val="5"/>
          <c:order val="4"/>
          <c:tx>
            <c:strRef>
              <c:f>Sheet1!$AT$213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Sheet1!$AU$213:$BT$213</c:f>
              <c:numCache>
                <c:formatCode>General</c:formatCode>
                <c:ptCount val="26"/>
                <c:pt idx="0">
                  <c:v>0.14910000000000001</c:v>
                </c:pt>
                <c:pt idx="1">
                  <c:v>1.4</c:v>
                </c:pt>
                <c:pt idx="2">
                  <c:v>0.4</c:v>
                </c:pt>
                <c:pt idx="3">
                  <c:v>0.64</c:v>
                </c:pt>
                <c:pt idx="4">
                  <c:v>0.88000000000000012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0.52</c:v>
                </c:pt>
                <c:pt idx="9">
                  <c:v>0.52</c:v>
                </c:pt>
                <c:pt idx="10">
                  <c:v>0.52</c:v>
                </c:pt>
                <c:pt idx="11">
                  <c:v>0.52</c:v>
                </c:pt>
                <c:pt idx="12">
                  <c:v>0.52</c:v>
                </c:pt>
                <c:pt idx="13">
                  <c:v>2.4700000000000002</c:v>
                </c:pt>
                <c:pt idx="14">
                  <c:v>3.3</c:v>
                </c:pt>
                <c:pt idx="15">
                  <c:v>6.2333333333333331E-2</c:v>
                </c:pt>
                <c:pt idx="16">
                  <c:v>6.2333333333333331E-2</c:v>
                </c:pt>
                <c:pt idx="17">
                  <c:v>2.597907612238497E-2</c:v>
                </c:pt>
                <c:pt idx="18">
                  <c:v>2.597907612238497E-2</c:v>
                </c:pt>
                <c:pt idx="19">
                  <c:v>2.597907612238497E-2</c:v>
                </c:pt>
                <c:pt idx="20">
                  <c:v>2.597907612238497E-2</c:v>
                </c:pt>
                <c:pt idx="21">
                  <c:v>2.597907612238497E-2</c:v>
                </c:pt>
                <c:pt idx="22">
                  <c:v>2.597907612238497E-2</c:v>
                </c:pt>
                <c:pt idx="23">
                  <c:v>2.597907612238497E-2</c:v>
                </c:pt>
                <c:pt idx="24">
                  <c:v>2.597907612238497E-2</c:v>
                </c:pt>
                <c:pt idx="25">
                  <c:v>2.597907612238497E-2</c:v>
                </c:pt>
              </c:numCache>
            </c:numRef>
          </c:val>
        </c:ser>
        <c:ser>
          <c:idx val="6"/>
          <c:order val="5"/>
          <c:tx>
            <c:strRef>
              <c:f>Sheet1!$AT$214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Sheet1!$AU$214:$BT$214</c:f>
              <c:numCache>
                <c:formatCode>General</c:formatCode>
                <c:ptCount val="26"/>
                <c:pt idx="0">
                  <c:v>7.0099999999999996E-2</c:v>
                </c:pt>
                <c:pt idx="1">
                  <c:v>0.6</c:v>
                </c:pt>
                <c:pt idx="2">
                  <c:v>0.32</c:v>
                </c:pt>
                <c:pt idx="3">
                  <c:v>0.48000000000000009</c:v>
                </c:pt>
                <c:pt idx="4">
                  <c:v>0.64000000000000012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0.54</c:v>
                </c:pt>
                <c:pt idx="14">
                  <c:v>0.7</c:v>
                </c:pt>
                <c:pt idx="15">
                  <c:v>1.8333333333333333E-2</c:v>
                </c:pt>
                <c:pt idx="16">
                  <c:v>3.0634444444444435</c:v>
                </c:pt>
                <c:pt idx="17">
                  <c:v>8.1675807349621942E-3</c:v>
                </c:pt>
                <c:pt idx="18">
                  <c:v>8.1675807349621942E-3</c:v>
                </c:pt>
                <c:pt idx="19">
                  <c:v>8.1675807349621942E-3</c:v>
                </c:pt>
                <c:pt idx="20">
                  <c:v>5.7969086030945277E-2</c:v>
                </c:pt>
                <c:pt idx="21">
                  <c:v>8.1675807349621942E-3</c:v>
                </c:pt>
                <c:pt idx="22">
                  <c:v>8.1675807349621942E-3</c:v>
                </c:pt>
                <c:pt idx="23">
                  <c:v>8.1675807349621942E-3</c:v>
                </c:pt>
                <c:pt idx="24">
                  <c:v>8.1675807349621942E-3</c:v>
                </c:pt>
                <c:pt idx="25">
                  <c:v>8.1675807349621942E-3</c:v>
                </c:pt>
              </c:numCache>
            </c:numRef>
          </c:val>
        </c:ser>
        <c:ser>
          <c:idx val="7"/>
          <c:order val="6"/>
          <c:tx>
            <c:strRef>
              <c:f>Sheet1!$AT$215</c:f>
              <c:strCache>
                <c:ptCount val="1"/>
                <c:pt idx="0">
                  <c:v>Biomass+Geo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Sheet1!$AU$215:$BT$215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2.46</c:v>
                </c:pt>
                <c:pt idx="3">
                  <c:v>2.9399999999999995</c:v>
                </c:pt>
                <c:pt idx="4">
                  <c:v>3.3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Sheet1!$AT$216</c:f>
              <c:strCache>
                <c:ptCount val="1"/>
                <c:pt idx="0">
                  <c:v>Geo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Sheet1!$AU$216:$BT$216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2.4265599999999998E-2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9"/>
          <c:order val="8"/>
          <c:tx>
            <c:strRef>
              <c:f>Sheet1!$AT$217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Sheet1!$AU$217:$BT$217</c:f>
              <c:numCache>
                <c:formatCode>General</c:formatCode>
                <c:ptCount val="26"/>
                <c:pt idx="0">
                  <c:v>1.3879999999999999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1.7799999999999998</c:v>
                </c:pt>
                <c:pt idx="6">
                  <c:v>1.7799999999999998</c:v>
                </c:pt>
                <c:pt idx="7">
                  <c:v>1.7799999999999998</c:v>
                </c:pt>
                <c:pt idx="8">
                  <c:v>2.3199999999999998</c:v>
                </c:pt>
                <c:pt idx="9">
                  <c:v>2.3199999999999998</c:v>
                </c:pt>
                <c:pt idx="10">
                  <c:v>2.3199999999999998</c:v>
                </c:pt>
                <c:pt idx="11">
                  <c:v>2.3199999999999998</c:v>
                </c:pt>
                <c:pt idx="12">
                  <c:v>2.3199999999999998</c:v>
                </c:pt>
                <c:pt idx="13">
                  <c:v>3.19</c:v>
                </c:pt>
                <c:pt idx="14">
                  <c:v>2.9</c:v>
                </c:pt>
                <c:pt idx="15">
                  <c:v>9.6388888888888878E-3</c:v>
                </c:pt>
                <c:pt idx="16">
                  <c:v>0.31374999999999997</c:v>
                </c:pt>
                <c:pt idx="17">
                  <c:v>2.2070629981865055</c:v>
                </c:pt>
                <c:pt idx="18">
                  <c:v>2.164002863543689</c:v>
                </c:pt>
                <c:pt idx="19">
                  <c:v>2.2070629981865055</c:v>
                </c:pt>
                <c:pt idx="20">
                  <c:v>2.2070629981865055</c:v>
                </c:pt>
                <c:pt idx="21">
                  <c:v>2.2070629981865055</c:v>
                </c:pt>
                <c:pt idx="22">
                  <c:v>2.2070629981865055</c:v>
                </c:pt>
                <c:pt idx="23">
                  <c:v>2.2070629981865055</c:v>
                </c:pt>
                <c:pt idx="24">
                  <c:v>2.2070629981865055</c:v>
                </c:pt>
                <c:pt idx="25">
                  <c:v>2.2070629981865055</c:v>
                </c:pt>
              </c:numCache>
            </c:numRef>
          </c:val>
        </c:ser>
        <c:ser>
          <c:idx val="10"/>
          <c:order val="9"/>
          <c:tx>
            <c:strRef>
              <c:f>Sheet1!$AT$218</c:f>
              <c:strCache>
                <c:ptCount val="1"/>
                <c:pt idx="0">
                  <c:v>Gas+Net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>
                  <a:lumMod val="65000"/>
                </a:schemeClr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Sheet1!$AU$218:$BT$218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1"/>
          <c:order val="10"/>
          <c:tx>
            <c:strRef>
              <c:f>Sheet1!$AT$219</c:f>
              <c:strCache>
                <c:ptCount val="1"/>
                <c:pt idx="0">
                  <c:v>Gas, Fossils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Sheet1!$AU$219:$BT$219</c:f>
              <c:numCache>
                <c:formatCode>General</c:formatCode>
                <c:ptCount val="26"/>
                <c:pt idx="0">
                  <c:v>1.9187999999999998</c:v>
                </c:pt>
                <c:pt idx="1">
                  <c:v>0</c:v>
                </c:pt>
                <c:pt idx="2">
                  <c:v>6.6666666666666661</c:v>
                </c:pt>
                <c:pt idx="3">
                  <c:v>5.333333333333333</c:v>
                </c:pt>
                <c:pt idx="4">
                  <c:v>2</c:v>
                </c:pt>
                <c:pt idx="5">
                  <c:v>5.57</c:v>
                </c:pt>
                <c:pt idx="6">
                  <c:v>3.94</c:v>
                </c:pt>
                <c:pt idx="7">
                  <c:v>3.83</c:v>
                </c:pt>
                <c:pt idx="8">
                  <c:v>3.13</c:v>
                </c:pt>
                <c:pt idx="9">
                  <c:v>3.13</c:v>
                </c:pt>
                <c:pt idx="10">
                  <c:v>4.7300000000000004</c:v>
                </c:pt>
                <c:pt idx="11">
                  <c:v>3.13</c:v>
                </c:pt>
                <c:pt idx="12">
                  <c:v>3.13</c:v>
                </c:pt>
                <c:pt idx="13">
                  <c:v>3</c:v>
                </c:pt>
                <c:pt idx="14">
                  <c:v>2.8</c:v>
                </c:pt>
                <c:pt idx="15">
                  <c:v>7.7530277777777776</c:v>
                </c:pt>
                <c:pt idx="16">
                  <c:v>3.4541944444444441</c:v>
                </c:pt>
                <c:pt idx="17">
                  <c:v>4.1177372017538225</c:v>
                </c:pt>
                <c:pt idx="18">
                  <c:v>1.2809909162725528</c:v>
                </c:pt>
                <c:pt idx="19">
                  <c:v>0.91800527072682225</c:v>
                </c:pt>
                <c:pt idx="20">
                  <c:v>0.54883260700529446</c:v>
                </c:pt>
                <c:pt idx="21">
                  <c:v>0.54883260700529446</c:v>
                </c:pt>
                <c:pt idx="22">
                  <c:v>0.54883260700529446</c:v>
                </c:pt>
                <c:pt idx="23">
                  <c:v>3.8654951957403081</c:v>
                </c:pt>
                <c:pt idx="24">
                  <c:v>1.3014488270768916</c:v>
                </c:pt>
                <c:pt idx="25">
                  <c:v>0.9180052707268167</c:v>
                </c:pt>
              </c:numCache>
            </c:numRef>
          </c:val>
        </c:ser>
        <c:ser>
          <c:idx val="12"/>
          <c:order val="11"/>
          <c:tx>
            <c:strRef>
              <c:f>Sheet1!$AT$220</c:f>
              <c:strCache>
                <c:ptCount val="1"/>
                <c:pt idx="0">
                  <c:v>Net import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Sheet1!$AU$139:$BT$139</c:f>
              <c:strCache>
                <c:ptCount val="26"/>
                <c:pt idx="0">
                  <c:v>2014</c:v>
                </c:pt>
                <c:pt idx="1">
                  <c:v>ETH/ESC, mittel</c:v>
                </c:pt>
                <c:pt idx="2">
                  <c:v>VSE, Szen.1</c:v>
                </c:pt>
                <c:pt idx="3">
                  <c:v>VSE, Szen.2</c:v>
                </c:pt>
                <c:pt idx="4">
                  <c:v>VSE, Szen.3</c:v>
                </c:pt>
                <c:pt idx="5">
                  <c:v>BFE, WWB+C    </c:v>
                </c:pt>
                <c:pt idx="6">
                  <c:v>BFE, POM+C    </c:v>
                </c:pt>
                <c:pt idx="7">
                  <c:v>BFE, NEP+C     </c:v>
                </c:pt>
                <c:pt idx="8">
                  <c:v>BFE, POM+E    </c:v>
                </c:pt>
                <c:pt idx="9">
                  <c:v>BFE, NEP+E     </c:v>
                </c:pt>
                <c:pt idx="10">
                  <c:v>BFE, WWB+C+E</c:v>
                </c:pt>
                <c:pt idx="11">
                  <c:v>BFE, POM+C+E</c:v>
                </c:pt>
                <c:pt idx="12">
                  <c:v>BFE, NEP+C+E</c:v>
                </c:pt>
                <c:pt idx="13">
                  <c:v>Cleantech</c:v>
                </c:pt>
                <c:pt idx="14">
                  <c:v>Greenpeace</c:v>
                </c:pt>
                <c:pt idx="15">
                  <c:v>PSI-sys, noClimPol</c:v>
                </c:pt>
                <c:pt idx="16">
                  <c:v>PSI-sys, -50% CO2</c:v>
                </c:pt>
                <c:pt idx="17">
                  <c:v>PSI-elc, WWB+Gas</c:v>
                </c:pt>
                <c:pt idx="18">
                  <c:v>PSI-elc, POM+Gas</c:v>
                </c:pt>
                <c:pt idx="19">
                  <c:v>PSI-elc, NEP+Gas</c:v>
                </c:pt>
                <c:pt idx="20">
                  <c:v>PSI-elc, WWB+Imp</c:v>
                </c:pt>
                <c:pt idx="21">
                  <c:v>PSI-elc, POM+Imp</c:v>
                </c:pt>
                <c:pt idx="22">
                  <c:v>PSI-elc, NEP+Imp</c:v>
                </c:pt>
                <c:pt idx="23">
                  <c:v>PSI-elc, WWB+Nuc</c:v>
                </c:pt>
                <c:pt idx="24">
                  <c:v>PSI-elc, POM+Nuc</c:v>
                </c:pt>
                <c:pt idx="25">
                  <c:v>PSI-elc, NEP+Nuc</c:v>
                </c:pt>
              </c:strCache>
            </c:strRef>
          </c:cat>
          <c:val>
            <c:numRef>
              <c:f>Sheet1!$AU$220:$BT$220</c:f>
              <c:numCache>
                <c:formatCode>General</c:formatCode>
                <c:ptCount val="26"/>
                <c:pt idx="0">
                  <c:v>2.5870000000000033</c:v>
                </c:pt>
                <c:pt idx="1">
                  <c:v>0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3.41</c:v>
                </c:pt>
                <c:pt idx="6">
                  <c:v>2.0700000000000003</c:v>
                </c:pt>
                <c:pt idx="7">
                  <c:v>1.9800000000000004</c:v>
                </c:pt>
                <c:pt idx="8">
                  <c:v>1.0899999999999999</c:v>
                </c:pt>
                <c:pt idx="9">
                  <c:v>0.89000000000000057</c:v>
                </c:pt>
                <c:pt idx="10">
                  <c:v>2.4600000000000009</c:v>
                </c:pt>
                <c:pt idx="11">
                  <c:v>1.0899999999999999</c:v>
                </c:pt>
                <c:pt idx="12">
                  <c:v>0.89000000000000057</c:v>
                </c:pt>
                <c:pt idx="13">
                  <c:v>0.6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2.7355895326763857E-13</c:v>
                </c:pt>
                <c:pt idx="18">
                  <c:v>2.8421709430404007E-14</c:v>
                </c:pt>
                <c:pt idx="19">
                  <c:v>2.7355895326763857E-13</c:v>
                </c:pt>
                <c:pt idx="20">
                  <c:v>3.2323056984381395</c:v>
                </c:pt>
                <c:pt idx="21">
                  <c:v>0.2644745892472784</c:v>
                </c:pt>
                <c:pt idx="22">
                  <c:v>0.11606398724030242</c:v>
                </c:pt>
                <c:pt idx="23">
                  <c:v>0</c:v>
                </c:pt>
                <c:pt idx="24">
                  <c:v>2.7355895326763857E-13</c:v>
                </c:pt>
                <c:pt idx="25">
                  <c:v>1.1368683772161603E-13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1054464"/>
        <c:axId val="201068544"/>
      </c:barChart>
      <c:catAx>
        <c:axId val="20105446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201068544"/>
        <c:crosses val="autoZero"/>
        <c:auto val="1"/>
        <c:lblAlgn val="ctr"/>
        <c:lblOffset val="100"/>
        <c:noMultiLvlLbl val="0"/>
      </c:catAx>
      <c:valAx>
        <c:axId val="201068544"/>
        <c:scaling>
          <c:orientation val="minMax"/>
          <c:max val="90"/>
          <c:min val="-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CH" sz="1100"/>
                  <a:t>Supply 2020 (TWh/y)</a:t>
                </a:r>
                <a:r>
                  <a:rPr lang="de-CH" sz="1100" baseline="0"/>
                  <a:t> </a:t>
                </a:r>
                <a:endParaRPr lang="de-CH" sz="11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0105446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65824535307503"/>
          <c:y val="3.042718689463466E-2"/>
          <c:w val="0.19306825938844677"/>
          <c:h val="0.755472107630860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Sheet1!$AT$510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Sheet1!$AU$510:$BS$510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17.472000000000001</c:v>
                </c:pt>
                <c:pt idx="5">
                  <c:v>17.472000000000001</c:v>
                </c:pt>
                <c:pt idx="6">
                  <c:v>17.472000000000001</c:v>
                </c:pt>
                <c:pt idx="7">
                  <c:v>18.564</c:v>
                </c:pt>
                <c:pt idx="8">
                  <c:v>18.564</c:v>
                </c:pt>
                <c:pt idx="9">
                  <c:v>18.564</c:v>
                </c:pt>
                <c:pt idx="10">
                  <c:v>18.564</c:v>
                </c:pt>
                <c:pt idx="11">
                  <c:v>18.564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Sheet1!$AT$511</c:f>
              <c:strCache>
                <c:ptCount val="1"/>
                <c:pt idx="0">
                  <c:v>Hydro river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Sheet1!$AU$511:$BS$511</c:f>
              <c:numCache>
                <c:formatCode>General</c:formatCode>
                <c:ptCount val="25"/>
                <c:pt idx="0">
                  <c:v>3.7679999999999998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</c:numCache>
            </c:numRef>
          </c:val>
        </c:ser>
        <c:ser>
          <c:idx val="2"/>
          <c:order val="2"/>
          <c:tx>
            <c:strRef>
              <c:f>Sheet1!$AT$512</c:f>
              <c:strCache>
                <c:ptCount val="1"/>
                <c:pt idx="0">
                  <c:v>Hydro storage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Sheet1!$AU$512:$BS$512</c:f>
              <c:numCache>
                <c:formatCode>General</c:formatCode>
                <c:ptCount val="25"/>
                <c:pt idx="0">
                  <c:v>10.671999999999999</c:v>
                </c:pt>
                <c:pt idx="1">
                  <c:v>12.6</c:v>
                </c:pt>
                <c:pt idx="2">
                  <c:v>12.9</c:v>
                </c:pt>
                <c:pt idx="3">
                  <c:v>13.1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13.5</c:v>
                </c:pt>
                <c:pt idx="14">
                  <c:v>13.5</c:v>
                </c:pt>
                <c:pt idx="15">
                  <c:v>13.5</c:v>
                </c:pt>
                <c:pt idx="16">
                  <c:v>10.5</c:v>
                </c:pt>
                <c:pt idx="17">
                  <c:v>10.6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11.3</c:v>
                </c:pt>
                <c:pt idx="23">
                  <c:v>11.8</c:v>
                </c:pt>
                <c:pt idx="24">
                  <c:v>12</c:v>
                </c:pt>
              </c:numCache>
            </c:numRef>
          </c:val>
        </c:ser>
        <c:ser>
          <c:idx val="4"/>
          <c:order val="3"/>
          <c:tx>
            <c:strRef>
              <c:f>Sheet1!$AT$513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Sheet1!$AU$513:$BS$513</c:f>
              <c:numCache>
                <c:formatCode>General</c:formatCode>
                <c:ptCount val="25"/>
                <c:pt idx="0">
                  <c:v>3.278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3.6</c:v>
                </c:pt>
                <c:pt idx="23">
                  <c:v>3.6</c:v>
                </c:pt>
                <c:pt idx="24">
                  <c:v>3</c:v>
                </c:pt>
              </c:numCache>
            </c:numRef>
          </c:val>
        </c:ser>
        <c:ser>
          <c:idx val="5"/>
          <c:order val="4"/>
          <c:tx>
            <c:strRef>
              <c:f>Sheet1!$AT$514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Sheet1!$AU$514:$BS$514</c:f>
              <c:numCache>
                <c:formatCode>General</c:formatCode>
                <c:ptCount val="25"/>
                <c:pt idx="0">
                  <c:v>0.111</c:v>
                </c:pt>
                <c:pt idx="1">
                  <c:v>3.7</c:v>
                </c:pt>
                <c:pt idx="2">
                  <c:v>8.9</c:v>
                </c:pt>
                <c:pt idx="3">
                  <c:v>14.9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11.16</c:v>
                </c:pt>
                <c:pt idx="14">
                  <c:v>11.16</c:v>
                </c:pt>
                <c:pt idx="15">
                  <c:v>0</c:v>
                </c:pt>
                <c:pt idx="16">
                  <c:v>7.4</c:v>
                </c:pt>
                <c:pt idx="17">
                  <c:v>5.5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2.9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5"/>
          <c:tx>
            <c:strRef>
              <c:f>Sheet1!$AT$515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Sheet1!$AU$515:$BS$515</c:f>
              <c:numCache>
                <c:formatCode>General</c:formatCode>
                <c:ptCount val="25"/>
                <c:pt idx="0">
                  <c:v>4.2000000000000003E-2</c:v>
                </c:pt>
                <c:pt idx="1">
                  <c:v>1.2</c:v>
                </c:pt>
                <c:pt idx="2">
                  <c:v>1.9</c:v>
                </c:pt>
                <c:pt idx="3">
                  <c:v>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2.2999999999999998</c:v>
                </c:pt>
                <c:pt idx="13">
                  <c:v>2.85</c:v>
                </c:pt>
                <c:pt idx="14">
                  <c:v>2.85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0.2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6"/>
          <c:tx>
            <c:strRef>
              <c:f>Sheet1!$AT$516</c:f>
              <c:strCache>
                <c:ptCount val="1"/>
                <c:pt idx="0">
                  <c:v>Biomass+Geo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Sheet1!$AU$516:$BS$516</c:f>
              <c:numCache>
                <c:formatCode>General</c:formatCode>
                <c:ptCount val="25"/>
                <c:pt idx="0">
                  <c:v>0</c:v>
                </c:pt>
                <c:pt idx="1">
                  <c:v>0.8</c:v>
                </c:pt>
                <c:pt idx="2">
                  <c:v>1.1000000000000001</c:v>
                </c:pt>
                <c:pt idx="3">
                  <c:v>1.3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Sheet1!$AT$517</c:f>
              <c:strCache>
                <c:ptCount val="1"/>
                <c:pt idx="0">
                  <c:v>Geo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Sheet1!$AU$517:$BS$517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</c:v>
                </c:pt>
                <c:pt idx="13">
                  <c:v>0.3</c:v>
                </c:pt>
                <c:pt idx="14">
                  <c:v>0.48</c:v>
                </c:pt>
                <c:pt idx="15">
                  <c:v>0</c:v>
                </c:pt>
                <c:pt idx="16">
                  <c:v>0</c:v>
                </c:pt>
                <c:pt idx="17">
                  <c:v>1.2</c:v>
                </c:pt>
                <c:pt idx="18">
                  <c:v>1.2</c:v>
                </c:pt>
                <c:pt idx="19">
                  <c:v>1.7999999999999998</c:v>
                </c:pt>
                <c:pt idx="20">
                  <c:v>2</c:v>
                </c:pt>
                <c:pt idx="21">
                  <c:v>1.4</c:v>
                </c:pt>
                <c:pt idx="22">
                  <c:v>1.2</c:v>
                </c:pt>
                <c:pt idx="23">
                  <c:v>1.2</c:v>
                </c:pt>
                <c:pt idx="24">
                  <c:v>1.1000000000000001</c:v>
                </c:pt>
              </c:numCache>
            </c:numRef>
          </c:val>
        </c:ser>
        <c:ser>
          <c:idx val="9"/>
          <c:order val="8"/>
          <c:tx>
            <c:strRef>
              <c:f>Sheet1!$AT$518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Sheet1!$AU$518:$BS$518</c:f>
              <c:numCache>
                <c:formatCode>General</c:formatCode>
                <c:ptCount val="25"/>
                <c:pt idx="0">
                  <c:v>0.17950000000000002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0.5</c:v>
                </c:pt>
                <c:pt idx="14">
                  <c:v>0.5</c:v>
                </c:pt>
                <c:pt idx="15">
                  <c:v>0</c:v>
                </c:pt>
                <c:pt idx="16">
                  <c:v>1.2</c:v>
                </c:pt>
                <c:pt idx="17">
                  <c:v>0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0"/>
          <c:order val="9"/>
          <c:tx>
            <c:strRef>
              <c:f>Sheet1!$AT$519</c:f>
              <c:strCache>
                <c:ptCount val="1"/>
                <c:pt idx="0">
                  <c:v>PV+Wind+Bio+Geo</c:v>
                </c:pt>
              </c:strCache>
            </c:strRef>
          </c:tx>
          <c:spPr>
            <a:pattFill prst="wdUpDiag">
              <a:fgClr>
                <a:srgbClr val="F79646">
                  <a:lumMod val="75000"/>
                </a:srgbClr>
              </a:fgClr>
              <a:bgClr>
                <a:srgbClr val="FFFF00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Sheet1!$AU$519:$BS$519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6.0060000000000002</c:v>
                </c:pt>
                <c:pt idx="5">
                  <c:v>6.0060000000000002</c:v>
                </c:pt>
                <c:pt idx="6">
                  <c:v>6.0060000000000002</c:v>
                </c:pt>
                <c:pt idx="7">
                  <c:v>12.558000000000002</c:v>
                </c:pt>
                <c:pt idx="8">
                  <c:v>12.558000000000002</c:v>
                </c:pt>
                <c:pt idx="9">
                  <c:v>12.558000000000002</c:v>
                </c:pt>
                <c:pt idx="10">
                  <c:v>12.558000000000002</c:v>
                </c:pt>
                <c:pt idx="11">
                  <c:v>12.558000000000002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0"/>
          <c:tx>
            <c:strRef>
              <c:f>Sheet1!$AT$520</c:f>
              <c:strCache>
                <c:ptCount val="1"/>
                <c:pt idx="0">
                  <c:v>Gas, Fossils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Sheet1!$AU$509:$BS$509</c:f>
              <c:strCache>
                <c:ptCount val="25"/>
                <c:pt idx="0">
                  <c:v>2011</c:v>
                </c:pt>
                <c:pt idx="1">
                  <c:v>VSE, Szen.1</c:v>
                </c:pt>
                <c:pt idx="2">
                  <c:v>VSE, Szen.2</c:v>
                </c:pt>
                <c:pt idx="3">
                  <c:v>VSE, Szen.3</c:v>
                </c:pt>
                <c:pt idx="4">
                  <c:v>BFE, WWB+C    </c:v>
                </c:pt>
                <c:pt idx="5">
                  <c:v>BFE, POM+C    </c:v>
                </c:pt>
                <c:pt idx="6">
                  <c:v>BFE, NEP+C    </c:v>
                </c:pt>
                <c:pt idx="7">
                  <c:v>BFE, WWB+C+E</c:v>
                </c:pt>
                <c:pt idx="8">
                  <c:v>BFE, POM+C+E</c:v>
                </c:pt>
                <c:pt idx="9">
                  <c:v>BFE, NEP+C+E</c:v>
                </c:pt>
                <c:pt idx="10">
                  <c:v>BFE, POM+E    </c:v>
                </c:pt>
                <c:pt idx="11">
                  <c:v>BFE, NEP+E    </c:v>
                </c:pt>
                <c:pt idx="12">
                  <c:v>Greenpeace</c:v>
                </c:pt>
                <c:pt idx="13">
                  <c:v>SCS, WWB+C+E</c:v>
                </c:pt>
                <c:pt idx="14">
                  <c:v>SCS, NEP+E    </c:v>
                </c:pt>
                <c:pt idx="15">
                  <c:v>SCS, Nucl         </c:v>
                </c:pt>
                <c:pt idx="16">
                  <c:v>PSI-elc, WWB+Gas</c:v>
                </c:pt>
                <c:pt idx="17">
                  <c:v>PSI-elc, POM+Gas</c:v>
                </c:pt>
                <c:pt idx="18">
                  <c:v>PSI-elc, NEP+Gas</c:v>
                </c:pt>
                <c:pt idx="19">
                  <c:v>PSI-elc, WWB+Imp</c:v>
                </c:pt>
                <c:pt idx="20">
                  <c:v>PSI-elc, POM+Imp</c:v>
                </c:pt>
                <c:pt idx="21">
                  <c:v>PSI-elc, NEP+Imp</c:v>
                </c:pt>
                <c:pt idx="22">
                  <c:v>PSI-elc, WWB+Nuc</c:v>
                </c:pt>
                <c:pt idx="23">
                  <c:v>PSI-elc, POM+Nuc</c:v>
                </c:pt>
                <c:pt idx="24">
                  <c:v>PSI-elc, NEP+Nuc</c:v>
                </c:pt>
              </c:strCache>
            </c:strRef>
          </c:cat>
          <c:val>
            <c:numRef>
              <c:f>Sheet1!$AU$520:$BS$520</c:f>
              <c:numCache>
                <c:formatCode>General</c:formatCode>
                <c:ptCount val="25"/>
                <c:pt idx="0">
                  <c:v>0.76749999999999996</c:v>
                </c:pt>
                <c:pt idx="1">
                  <c:v>2.9</c:v>
                </c:pt>
                <c:pt idx="2">
                  <c:v>1.7</c:v>
                </c:pt>
                <c:pt idx="3">
                  <c:v>0.3</c:v>
                </c:pt>
                <c:pt idx="4">
                  <c:v>4.9140000000000006</c:v>
                </c:pt>
                <c:pt idx="5">
                  <c:v>3.8500000000000005</c:v>
                </c:pt>
                <c:pt idx="6">
                  <c:v>3.2760000000000007</c:v>
                </c:pt>
                <c:pt idx="7">
                  <c:v>3.2760000000000007</c:v>
                </c:pt>
                <c:pt idx="8">
                  <c:v>3.2760000000000007</c:v>
                </c:pt>
                <c:pt idx="9">
                  <c:v>2.7300000000000004</c:v>
                </c:pt>
                <c:pt idx="10">
                  <c:v>0.54600000000000004</c:v>
                </c:pt>
                <c:pt idx="11">
                  <c:v>0.54600000000000004</c:v>
                </c:pt>
                <c:pt idx="12">
                  <c:v>0</c:v>
                </c:pt>
                <c:pt idx="13">
                  <c:v>3.7</c:v>
                </c:pt>
                <c:pt idx="14">
                  <c:v>0.8</c:v>
                </c:pt>
                <c:pt idx="15">
                  <c:v>0</c:v>
                </c:pt>
                <c:pt idx="16">
                  <c:v>4.0999999999999996</c:v>
                </c:pt>
                <c:pt idx="17">
                  <c:v>3.7</c:v>
                </c:pt>
                <c:pt idx="18">
                  <c:v>1.3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</c:v>
                </c:pt>
                <c:pt idx="23">
                  <c:v>0.4</c:v>
                </c:pt>
                <c:pt idx="2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1105408"/>
        <c:axId val="201106944"/>
      </c:barChart>
      <c:catAx>
        <c:axId val="20110540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201106944"/>
        <c:crosses val="autoZero"/>
        <c:auto val="1"/>
        <c:lblAlgn val="ctr"/>
        <c:lblOffset val="100"/>
        <c:noMultiLvlLbl val="0"/>
      </c:catAx>
      <c:valAx>
        <c:axId val="201106944"/>
        <c:scaling>
          <c:orientation val="minMax"/>
          <c:max val="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CH" sz="1100"/>
                  <a:t>Capacity</a:t>
                </a:r>
                <a:r>
                  <a:rPr lang="de-CH" sz="1100" baseline="0"/>
                  <a:t> </a:t>
                </a:r>
                <a:r>
                  <a:rPr lang="de-CH" sz="1100"/>
                  <a:t>2050 (GW)</a:t>
                </a:r>
                <a:r>
                  <a:rPr lang="de-CH" sz="1100" baseline="0"/>
                  <a:t> </a:t>
                </a:r>
                <a:endParaRPr lang="de-CH" sz="11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0110540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01665284315521"/>
          <c:y val="9.8454415998290232E-2"/>
          <c:w val="0.21983347156844793"/>
          <c:h val="0.8337034211000645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12155540948146"/>
          <c:y val="3.2181209133582307E-2"/>
          <c:w val="0.60184677068740644"/>
          <c:h val="0.80360018176419445"/>
        </c:manualLayout>
      </c:layout>
      <c:lineChart>
        <c:grouping val="standard"/>
        <c:varyColors val="0"/>
        <c:ser>
          <c:idx val="0"/>
          <c:order val="0"/>
          <c:tx>
            <c:strRef>
              <c:f>Sheet1!$C$92</c:f>
              <c:strCache>
                <c:ptCount val="1"/>
                <c:pt idx="0">
                  <c:v>ETH/ESC, hoch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Sheet1!$D$92:$M$92</c:f>
              <c:numCache>
                <c:formatCode>0.0</c:formatCode>
                <c:ptCount val="10"/>
                <c:pt idx="1">
                  <c:v>64.27800000000002</c:v>
                </c:pt>
                <c:pt idx="2">
                  <c:v>68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82</c:v>
                </c:pt>
                <c:pt idx="7">
                  <c:v>85.333333333333329</c:v>
                </c:pt>
                <c:pt idx="8">
                  <c:v>88.666666666666657</c:v>
                </c:pt>
                <c:pt idx="9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Sheet1!$C$93</c:f>
              <c:strCache>
                <c:ptCount val="1"/>
                <c:pt idx="0">
                  <c:v>ETH/ESC, mittel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Sheet1!$D$93:$M$93</c:f>
              <c:numCache>
                <c:formatCode>0.0</c:formatCode>
                <c:ptCount val="10"/>
                <c:pt idx="1">
                  <c:v>64.27800000000002</c:v>
                </c:pt>
                <c:pt idx="2">
                  <c:v>66.5</c:v>
                </c:pt>
                <c:pt idx="3">
                  <c:v>70</c:v>
                </c:pt>
                <c:pt idx="4">
                  <c:v>71.666666666666657</c:v>
                </c:pt>
                <c:pt idx="5">
                  <c:v>73.333333333333329</c:v>
                </c:pt>
                <c:pt idx="6">
                  <c:v>75</c:v>
                </c:pt>
                <c:pt idx="7">
                  <c:v>76.333333333333329</c:v>
                </c:pt>
                <c:pt idx="8">
                  <c:v>77.666666666666657</c:v>
                </c:pt>
                <c:pt idx="9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Sheet1!$C$94</c:f>
              <c:strCache>
                <c:ptCount val="1"/>
                <c:pt idx="0">
                  <c:v>ETH/ESC, niedrig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Sheet1!$D$94:$M$94</c:f>
              <c:numCache>
                <c:formatCode>0.0</c:formatCode>
                <c:ptCount val="10"/>
                <c:pt idx="1">
                  <c:v>64.27800000000002</c:v>
                </c:pt>
                <c:pt idx="2">
                  <c:v>65</c:v>
                </c:pt>
                <c:pt idx="3">
                  <c:v>67</c:v>
                </c:pt>
                <c:pt idx="4">
                  <c:v>66.666666666666657</c:v>
                </c:pt>
                <c:pt idx="5">
                  <c:v>66.333333333333329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Sheet1!$C$95</c:f>
              <c:strCache>
                <c:ptCount val="1"/>
                <c:pt idx="0">
                  <c:v>VSE, Szen. 1 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Sheet1!$D$95:$M$95</c:f>
              <c:numCache>
                <c:formatCode>0.0</c:formatCode>
                <c:ptCount val="10"/>
                <c:pt idx="1">
                  <c:v>64.27800000000002</c:v>
                </c:pt>
                <c:pt idx="2">
                  <c:v>67.099999999999994</c:v>
                </c:pt>
                <c:pt idx="3">
                  <c:v>69.7</c:v>
                </c:pt>
                <c:pt idx="4">
                  <c:v>72.099999999999994</c:v>
                </c:pt>
                <c:pt idx="5">
                  <c:v>74.2</c:v>
                </c:pt>
                <c:pt idx="6">
                  <c:v>76.2</c:v>
                </c:pt>
                <c:pt idx="7">
                  <c:v>78</c:v>
                </c:pt>
                <c:pt idx="8">
                  <c:v>79.599999999999994</c:v>
                </c:pt>
                <c:pt idx="9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Sheet1!$C$96</c:f>
              <c:strCache>
                <c:ptCount val="1"/>
                <c:pt idx="0">
                  <c:v>VSE, Szen. 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Sheet1!$D$96:$M$96</c:f>
              <c:numCache>
                <c:formatCode>0.0</c:formatCode>
                <c:ptCount val="10"/>
                <c:pt idx="1">
                  <c:v>64.27800000000002</c:v>
                </c:pt>
                <c:pt idx="2">
                  <c:v>67.2</c:v>
                </c:pt>
                <c:pt idx="3">
                  <c:v>69.400000000000006</c:v>
                </c:pt>
                <c:pt idx="4">
                  <c:v>71</c:v>
                </c:pt>
                <c:pt idx="5">
                  <c:v>72.099999999999994</c:v>
                </c:pt>
                <c:pt idx="6">
                  <c:v>72.8</c:v>
                </c:pt>
                <c:pt idx="7">
                  <c:v>73.3</c:v>
                </c:pt>
                <c:pt idx="8">
                  <c:v>73.3</c:v>
                </c:pt>
                <c:pt idx="9">
                  <c:v>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Sheet1!$C$97</c:f>
              <c:strCache>
                <c:ptCount val="1"/>
                <c:pt idx="0">
                  <c:v>VSE, Szen. 3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Sheet1!$D$97:$M$97</c:f>
              <c:numCache>
                <c:formatCode>0.0</c:formatCode>
                <c:ptCount val="10"/>
                <c:pt idx="1">
                  <c:v>64.27800000000002</c:v>
                </c:pt>
                <c:pt idx="2">
                  <c:v>67</c:v>
                </c:pt>
                <c:pt idx="3">
                  <c:v>68.7</c:v>
                </c:pt>
                <c:pt idx="4">
                  <c:v>69.400000000000006</c:v>
                </c:pt>
                <c:pt idx="5">
                  <c:v>69.2</c:v>
                </c:pt>
                <c:pt idx="6">
                  <c:v>68.2</c:v>
                </c:pt>
                <c:pt idx="7">
                  <c:v>66.599999999999994</c:v>
                </c:pt>
                <c:pt idx="8">
                  <c:v>63.9</c:v>
                </c:pt>
                <c:pt idx="9">
                  <c:v>60.5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Sheet1!$C$98</c:f>
              <c:strCache>
                <c:ptCount val="1"/>
                <c:pt idx="0">
                  <c:v>BFE, WWB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Sheet1!$D$98:$M$98</c:f>
              <c:numCache>
                <c:formatCode>0.0</c:formatCode>
                <c:ptCount val="10"/>
                <c:pt idx="0">
                  <c:v>60.913000000000004</c:v>
                </c:pt>
                <c:pt idx="1">
                  <c:v>63.599999999999994</c:v>
                </c:pt>
                <c:pt idx="2">
                  <c:v>65.329999999999984</c:v>
                </c:pt>
                <c:pt idx="3">
                  <c:v>66.97</c:v>
                </c:pt>
                <c:pt idx="4">
                  <c:v>67.83</c:v>
                </c:pt>
                <c:pt idx="5">
                  <c:v>68.820000000000007</c:v>
                </c:pt>
                <c:pt idx="6">
                  <c:v>70.009999999999977</c:v>
                </c:pt>
                <c:pt idx="7">
                  <c:v>71.55</c:v>
                </c:pt>
                <c:pt idx="8">
                  <c:v>73.179999999999993</c:v>
                </c:pt>
                <c:pt idx="9">
                  <c:v>74.789999999999992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Sheet1!$C$100</c:f>
              <c:strCache>
                <c:ptCount val="1"/>
                <c:pt idx="0">
                  <c:v>BFE, POM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Sheet1!$D$100:$M$100</c:f>
              <c:numCache>
                <c:formatCode>0.0</c:formatCode>
                <c:ptCount val="10"/>
                <c:pt idx="1">
                  <c:v>63.599999999999994</c:v>
                </c:pt>
                <c:pt idx="2">
                  <c:v>65.079999999999984</c:v>
                </c:pt>
                <c:pt idx="3">
                  <c:v>64</c:v>
                </c:pt>
                <c:pt idx="4">
                  <c:v>63.030000000000008</c:v>
                </c:pt>
                <c:pt idx="5">
                  <c:v>62.690000000000012</c:v>
                </c:pt>
                <c:pt idx="6">
                  <c:v>62.97</c:v>
                </c:pt>
                <c:pt idx="7">
                  <c:v>63.93</c:v>
                </c:pt>
                <c:pt idx="8">
                  <c:v>64.94</c:v>
                </c:pt>
                <c:pt idx="9">
                  <c:v>65.949999999999989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Sheet1!$C$99</c:f>
              <c:strCache>
                <c:ptCount val="1"/>
                <c:pt idx="0">
                  <c:v>BFE, NEP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Sheet1!$D$99:$M$99</c:f>
              <c:numCache>
                <c:formatCode>0.0</c:formatCode>
                <c:ptCount val="10"/>
                <c:pt idx="1">
                  <c:v>63.599999999999994</c:v>
                </c:pt>
                <c:pt idx="2">
                  <c:v>64.549999999999983</c:v>
                </c:pt>
                <c:pt idx="3">
                  <c:v>63.8</c:v>
                </c:pt>
                <c:pt idx="4">
                  <c:v>62.09</c:v>
                </c:pt>
                <c:pt idx="5">
                  <c:v>60.720000000000006</c:v>
                </c:pt>
                <c:pt idx="6">
                  <c:v>59.91</c:v>
                </c:pt>
                <c:pt idx="7">
                  <c:v>59.220000000000006</c:v>
                </c:pt>
                <c:pt idx="8">
                  <c:v>58.45000000000001</c:v>
                </c:pt>
                <c:pt idx="9">
                  <c:v>57.559999999999995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Sheet1!$C$101</c:f>
              <c:strCache>
                <c:ptCount val="1"/>
                <c:pt idx="0">
                  <c:v>Greenpeace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Sheet1!$D$101:$M$101</c:f>
              <c:numCache>
                <c:formatCode>0.0</c:formatCode>
                <c:ptCount val="10"/>
                <c:pt idx="1">
                  <c:v>63.750444444444454</c:v>
                </c:pt>
                <c:pt idx="2">
                  <c:v>63.950444444444457</c:v>
                </c:pt>
                <c:pt idx="3">
                  <c:v>64.394888888888886</c:v>
                </c:pt>
                <c:pt idx="4">
                  <c:v>64.117111111111114</c:v>
                </c:pt>
                <c:pt idx="5">
                  <c:v>63.839333333333343</c:v>
                </c:pt>
                <c:pt idx="6">
                  <c:v>64.394888888888886</c:v>
                </c:pt>
                <c:pt idx="7">
                  <c:v>64.950444444444457</c:v>
                </c:pt>
                <c:pt idx="8">
                  <c:v>65.089333333333343</c:v>
                </c:pt>
                <c:pt idx="9">
                  <c:v>65.228222222222229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Sheet1!$C$102</c:f>
              <c:strCache>
                <c:ptCount val="1"/>
                <c:pt idx="0">
                  <c:v>Cleantech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Sheet1!$D$102:$M$102</c:f>
              <c:numCache>
                <c:formatCode>0.0</c:formatCode>
                <c:ptCount val="10"/>
                <c:pt idx="1">
                  <c:v>64.27800000000002</c:v>
                </c:pt>
                <c:pt idx="2">
                  <c:v>63</c:v>
                </c:pt>
                <c:pt idx="3">
                  <c:v>66</c:v>
                </c:pt>
                <c:pt idx="4">
                  <c:v>69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71</c:v>
                </c:pt>
                <c:pt idx="9">
                  <c:v>70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Sheet1!$C$103</c:f>
              <c:strCache>
                <c:ptCount val="1"/>
                <c:pt idx="0">
                  <c:v>SCS, WWB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8"/>
            <c:spPr>
              <a:solidFill>
                <a:schemeClr val="bg1"/>
              </a:solidFill>
              <a:ln w="19050">
                <a:solidFill>
                  <a:schemeClr val="accent6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Sheet1!$D$103:$M$103</c:f>
              <c:numCache>
                <c:formatCode>0.0</c:formatCode>
                <c:ptCount val="10"/>
                <c:pt idx="9">
                  <c:v>78.259999999999991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Sheet1!$C$104</c:f>
              <c:strCache>
                <c:ptCount val="1"/>
                <c:pt idx="0">
                  <c:v>SCS, NEP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noFill/>
              <a:ln w="19050">
                <a:solidFill>
                  <a:schemeClr val="accent6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Sheet1!$D$104:$M$104</c:f>
              <c:numCache>
                <c:formatCode>0.0</c:formatCode>
                <c:ptCount val="10"/>
                <c:pt idx="9">
                  <c:v>60.53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Sheet1!$C$105</c:f>
              <c:strCache>
                <c:ptCount val="1"/>
                <c:pt idx="0">
                  <c:v>SCS, nuclear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noFill/>
              <a:ln w="22225">
                <a:solidFill>
                  <a:schemeClr val="accent6"/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Sheet1!$D$105:$M$105</c:f>
              <c:numCache>
                <c:formatCode>0.0</c:formatCode>
                <c:ptCount val="10"/>
                <c:pt idx="9">
                  <c:v>63.659999999999989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Sheet1!$C$106</c:f>
              <c:strCache>
                <c:ptCount val="1"/>
                <c:pt idx="0">
                  <c:v>PSI-sys, noPol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x"/>
            <c:size val="7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Sheet1!$D$106:$M$106</c:f>
              <c:numCache>
                <c:formatCode>0.0</c:formatCode>
                <c:ptCount val="10"/>
                <c:pt idx="1">
                  <c:v>61.731499999999983</c:v>
                </c:pt>
                <c:pt idx="2">
                  <c:v>64.168888888888873</c:v>
                </c:pt>
                <c:pt idx="3">
                  <c:v>66.65647222222222</c:v>
                </c:pt>
                <c:pt idx="4">
                  <c:v>67.770499999999998</c:v>
                </c:pt>
                <c:pt idx="5">
                  <c:v>72.303166666666669</c:v>
                </c:pt>
                <c:pt idx="6">
                  <c:v>76.913694444444431</c:v>
                </c:pt>
                <c:pt idx="7">
                  <c:v>79.509000000000015</c:v>
                </c:pt>
                <c:pt idx="8">
                  <c:v>82.310416666666669</c:v>
                </c:pt>
                <c:pt idx="9">
                  <c:v>84.504055555555553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Sheet1!$C$107</c:f>
              <c:strCache>
                <c:ptCount val="1"/>
                <c:pt idx="0">
                  <c:v>PSI-sys, 50%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Sheet1!$D$107:$M$107</c:f>
              <c:numCache>
                <c:formatCode>0.0</c:formatCode>
                <c:ptCount val="10"/>
                <c:pt idx="1">
                  <c:v>61.731444444444435</c:v>
                </c:pt>
                <c:pt idx="2">
                  <c:v>65.200638888888875</c:v>
                </c:pt>
                <c:pt idx="3">
                  <c:v>66.219638888888881</c:v>
                </c:pt>
                <c:pt idx="4">
                  <c:v>65.824472222222212</c:v>
                </c:pt>
                <c:pt idx="5">
                  <c:v>69.988916666666654</c:v>
                </c:pt>
                <c:pt idx="6">
                  <c:v>72.209750000000014</c:v>
                </c:pt>
                <c:pt idx="7">
                  <c:v>74.158166666666659</c:v>
                </c:pt>
                <c:pt idx="8">
                  <c:v>75.461888888888879</c:v>
                </c:pt>
                <c:pt idx="9">
                  <c:v>76.410499999999985</c:v>
                </c:pt>
              </c:numCache>
            </c:numRef>
          </c:val>
          <c:smooth val="0"/>
        </c:ser>
        <c:ser>
          <c:idx val="13"/>
          <c:order val="16"/>
          <c:tx>
            <c:strRef>
              <c:f>Sheet1!$C$108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chemeClr val="bg1">
                  <a:lumMod val="50000"/>
                  <a:alpha val="83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Sheet1!$D$91:$M$91</c:f>
              <c:strCache>
                <c:ptCount val="10"/>
                <c:pt idx="0">
                  <c:v>2002-08 avg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Sheet1!$D$108:$M$108</c:f>
              <c:numCache>
                <c:formatCode>0.0</c:formatCode>
                <c:ptCount val="10"/>
                <c:pt idx="2">
                  <c:v>65.544613247863239</c:v>
                </c:pt>
                <c:pt idx="3">
                  <c:v>67.372384615384604</c:v>
                </c:pt>
                <c:pt idx="4">
                  <c:v>68.191955128205109</c:v>
                </c:pt>
                <c:pt idx="5">
                  <c:v>69.57908333333333</c:v>
                </c:pt>
                <c:pt idx="6">
                  <c:v>70.662179487179486</c:v>
                </c:pt>
                <c:pt idx="7">
                  <c:v>71.606482905982901</c:v>
                </c:pt>
                <c:pt idx="8">
                  <c:v>72.274228632478639</c:v>
                </c:pt>
                <c:pt idx="9">
                  <c:v>71.774548611111101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43744"/>
        <c:axId val="204945280"/>
      </c:lineChart>
      <c:catAx>
        <c:axId val="204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945280"/>
        <c:crosses val="autoZero"/>
        <c:auto val="1"/>
        <c:lblAlgn val="ctr"/>
        <c:lblOffset val="100"/>
        <c:noMultiLvlLbl val="0"/>
      </c:catAx>
      <c:valAx>
        <c:axId val="204945280"/>
        <c:scaling>
          <c:orientation val="minMax"/>
          <c:min val="5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CH" sz="1400"/>
                  <a:t>Enduse demand + Losses (TWh/y)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9437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9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4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5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6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0.71726889200199673"/>
          <c:y val="3.0317494735585985E-2"/>
          <c:w val="0.2704611693476966"/>
          <c:h val="0.9076818553855230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Sheet1!$C$1042</c:f>
              <c:strCache>
                <c:ptCount val="1"/>
                <c:pt idx="0">
                  <c:v>Laufwasserkraft</c:v>
                </c:pt>
              </c:strCache>
            </c:strRef>
          </c:tx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Sheet1!$D$1042:$O$1042</c:f>
              <c:numCache>
                <c:formatCode>General</c:formatCode>
                <c:ptCount val="12"/>
                <c:pt idx="0">
                  <c:v>2</c:v>
                </c:pt>
                <c:pt idx="1">
                  <c:v>1.625</c:v>
                </c:pt>
                <c:pt idx="2">
                  <c:v>1</c:v>
                </c:pt>
                <c:pt idx="3">
                  <c:v>0.875</c:v>
                </c:pt>
                <c:pt idx="4">
                  <c:v>1.375</c:v>
                </c:pt>
                <c:pt idx="5">
                  <c:v>1.125</c:v>
                </c:pt>
                <c:pt idx="6">
                  <c:v>1.75</c:v>
                </c:pt>
                <c:pt idx="7">
                  <c:v>2.5</c:v>
                </c:pt>
                <c:pt idx="8">
                  <c:v>3.25</c:v>
                </c:pt>
                <c:pt idx="9">
                  <c:v>3.625</c:v>
                </c:pt>
                <c:pt idx="10">
                  <c:v>3.625</c:v>
                </c:pt>
                <c:pt idx="11">
                  <c:v>3.5</c:v>
                </c:pt>
              </c:numCache>
            </c:numRef>
          </c:val>
        </c:ser>
        <c:ser>
          <c:idx val="1"/>
          <c:order val="1"/>
          <c:tx>
            <c:strRef>
              <c:f>Sheet1!$C$1043</c:f>
              <c:strCache>
                <c:ptCount val="1"/>
                <c:pt idx="0">
                  <c:v>Speicherwasserkraft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Sheet1!$D$1043:$O$1043</c:f>
              <c:numCache>
                <c:formatCode>General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1.875</c:v>
                </c:pt>
                <c:pt idx="3">
                  <c:v>1.875</c:v>
                </c:pt>
                <c:pt idx="4">
                  <c:v>1.75</c:v>
                </c:pt>
                <c:pt idx="5">
                  <c:v>1.5</c:v>
                </c:pt>
                <c:pt idx="6">
                  <c:v>0.125</c:v>
                </c:pt>
                <c:pt idx="7">
                  <c:v>0.125</c:v>
                </c:pt>
                <c:pt idx="8">
                  <c:v>1.2500000000000001E-2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Sheet1!$C$1044</c:f>
              <c:strCache>
                <c:ptCount val="1"/>
                <c:pt idx="0">
                  <c:v>KVA</c:v>
                </c:pt>
              </c:strCache>
            </c:strRef>
          </c:tx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Sheet1!$D$1044:$O$1044</c:f>
              <c:numCache>
                <c:formatCode>General</c:formatCode>
                <c:ptCount val="12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Sheet1!$C$1045</c:f>
              <c:strCache>
                <c:ptCount val="1"/>
                <c:pt idx="0">
                  <c:v>Wind</c:v>
                </c:pt>
              </c:strCache>
            </c:strRef>
          </c:tx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Sheet1!$D$1045:$O$1045</c:f>
              <c:numCache>
                <c:formatCode>General</c:formatCode>
                <c:ptCount val="12"/>
                <c:pt idx="0">
                  <c:v>0.375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0.375</c:v>
                </c:pt>
                <c:pt idx="5">
                  <c:v>0.375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Sheet1!$C$1046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Sheet1!$D$1046:$O$1046</c:f>
              <c:numCache>
                <c:formatCode>General</c:formatCode>
                <c:ptCount val="12"/>
                <c:pt idx="0">
                  <c:v>1.25</c:v>
                </c:pt>
                <c:pt idx="1">
                  <c:v>0.875</c:v>
                </c:pt>
                <c:pt idx="2">
                  <c:v>0.625</c:v>
                </c:pt>
                <c:pt idx="3">
                  <c:v>0.625</c:v>
                </c:pt>
                <c:pt idx="4">
                  <c:v>0.75</c:v>
                </c:pt>
                <c:pt idx="5">
                  <c:v>0.875</c:v>
                </c:pt>
                <c:pt idx="6">
                  <c:v>1.25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  <c:pt idx="10">
                  <c:v>1.625</c:v>
                </c:pt>
                <c:pt idx="11">
                  <c:v>1.5</c:v>
                </c:pt>
              </c:numCache>
            </c:numRef>
          </c:val>
        </c:ser>
        <c:ser>
          <c:idx val="5"/>
          <c:order val="5"/>
          <c:tx>
            <c:strRef>
              <c:f>Sheet1!$C$1047</c:f>
              <c:strCache>
                <c:ptCount val="1"/>
                <c:pt idx="0">
                  <c:v>WKK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Sheet1!$D$1047:$O$1047</c:f>
              <c:numCache>
                <c:formatCode>General</c:formatCode>
                <c:ptCount val="12"/>
                <c:pt idx="0">
                  <c:v>6.25E-2</c:v>
                </c:pt>
                <c:pt idx="1">
                  <c:v>0.375</c:v>
                </c:pt>
                <c:pt idx="2">
                  <c:v>1.25</c:v>
                </c:pt>
                <c:pt idx="3">
                  <c:v>1.625</c:v>
                </c:pt>
                <c:pt idx="4">
                  <c:v>1.75</c:v>
                </c:pt>
                <c:pt idx="5">
                  <c:v>1.25</c:v>
                </c:pt>
                <c:pt idx="6">
                  <c:v>0.625</c:v>
                </c:pt>
                <c:pt idx="7">
                  <c:v>0.25</c:v>
                </c:pt>
                <c:pt idx="8">
                  <c:v>0.125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Sheet1!$C$1048</c:f>
              <c:strCache>
                <c:ptCount val="1"/>
                <c:pt idx="0">
                  <c:v>Geothermie</c:v>
                </c:pt>
              </c:strCache>
            </c:strRef>
          </c:tx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Sheet1!$D$1048:$O$1048</c:f>
              <c:numCache>
                <c:formatCode>General</c:formatCode>
                <c:ptCount val="12"/>
                <c:pt idx="0">
                  <c:v>0</c:v>
                </c:pt>
                <c:pt idx="1">
                  <c:v>6.25E-2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1.2500000000000001E-2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Sheet1!$C$1049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Sheet1!$D$1041:$O$1041</c:f>
              <c:strCache>
                <c:ptCount val="12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Sheet1!$D$1049:$O$1049</c:f>
              <c:numCache>
                <c:formatCode>General</c:formatCode>
                <c:ptCount val="12"/>
                <c:pt idx="0">
                  <c:v>1.375</c:v>
                </c:pt>
                <c:pt idx="1">
                  <c:v>1.75</c:v>
                </c:pt>
                <c:pt idx="2">
                  <c:v>1</c:v>
                </c:pt>
                <c:pt idx="3">
                  <c:v>1.125</c:v>
                </c:pt>
                <c:pt idx="4">
                  <c:v>1</c:v>
                </c:pt>
                <c:pt idx="5">
                  <c:v>1</c:v>
                </c:pt>
                <c:pt idx="6">
                  <c:v>1.625</c:v>
                </c:pt>
                <c:pt idx="7">
                  <c:v>0.875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556480"/>
        <c:axId val="217558400"/>
      </c:areaChart>
      <c:catAx>
        <c:axId val="21755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558400"/>
        <c:crosses val="autoZero"/>
        <c:auto val="1"/>
        <c:lblAlgn val="ctr"/>
        <c:lblOffset val="100"/>
        <c:noMultiLvlLbl val="0"/>
      </c:catAx>
      <c:valAx>
        <c:axId val="21755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55648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3"/>
          <c:order val="0"/>
          <c:tx>
            <c:strRef>
              <c:f>Sheet1!$C$689</c:f>
              <c:strCache>
                <c:ptCount val="1"/>
                <c:pt idx="0">
                  <c:v>Wasserkraft, MITTEL</c:v>
                </c:pt>
              </c:strCache>
            </c:strRef>
          </c:tx>
          <c:val>
            <c:numRef>
              <c:f>Sheet1!$G$689:$M$689</c:f>
              <c:numCache>
                <c:formatCode>0</c:formatCode>
                <c:ptCount val="7"/>
                <c:pt idx="0">
                  <c:v>36.5</c:v>
                </c:pt>
                <c:pt idx="1">
                  <c:v>37.333333333333329</c:v>
                </c:pt>
                <c:pt idx="2">
                  <c:v>38.166666666666664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</c:numCache>
            </c:numRef>
          </c:val>
        </c:ser>
        <c:ser>
          <c:idx val="0"/>
          <c:order val="1"/>
          <c:tx>
            <c:strRef>
              <c:f>Sheet1!$C$686</c:f>
              <c:strCache>
                <c:ptCount val="1"/>
                <c:pt idx="0">
                  <c:v>Kernkraft</c:v>
                </c:pt>
              </c:strCache>
            </c:strRef>
          </c:tx>
          <c:val>
            <c:numRef>
              <c:f>Sheet1!$G$686:$M$686</c:f>
              <c:numCache>
                <c:formatCode>General</c:formatCode>
                <c:ptCount val="7"/>
                <c:pt idx="0">
                  <c:v>25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1"/>
          <c:order val="2"/>
          <c:tx>
            <c:strRef>
              <c:f>Sheet1!$C$687</c:f>
              <c:strCache>
                <c:ptCount val="1"/>
                <c:pt idx="0">
                  <c:v>Bestand Konv. Therm.</c:v>
                </c:pt>
              </c:strCache>
            </c:strRef>
          </c:tx>
          <c:val>
            <c:numRef>
              <c:f>Sheet1!$G$687:$M$687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4"/>
          <c:order val="3"/>
          <c:tx>
            <c:strRef>
              <c:f>Sheet1!$C$690</c:f>
              <c:strCache>
                <c:ptCount val="1"/>
                <c:pt idx="0">
                  <c:v>PV, MITTEL</c:v>
                </c:pt>
              </c:strCache>
            </c:strRef>
          </c:tx>
          <c:val>
            <c:numRef>
              <c:f>Sheet1!$G$690:$M$690</c:f>
              <c:numCache>
                <c:formatCode>0</c:formatCode>
                <c:ptCount val="7"/>
                <c:pt idx="0">
                  <c:v>1.4</c:v>
                </c:pt>
                <c:pt idx="1">
                  <c:v>2.9333333333333331</c:v>
                </c:pt>
                <c:pt idx="2">
                  <c:v>4.4666666666666668</c:v>
                </c:pt>
                <c:pt idx="3">
                  <c:v>5.9999999999999991</c:v>
                </c:pt>
                <c:pt idx="4">
                  <c:v>8.6666666666666643</c:v>
                </c:pt>
                <c:pt idx="5">
                  <c:v>11.333333333333332</c:v>
                </c:pt>
                <c:pt idx="6">
                  <c:v>14</c:v>
                </c:pt>
              </c:numCache>
            </c:numRef>
          </c:val>
        </c:ser>
        <c:ser>
          <c:idx val="5"/>
          <c:order val="4"/>
          <c:tx>
            <c:strRef>
              <c:f>Sheet1!$C$691</c:f>
              <c:strCache>
                <c:ptCount val="1"/>
                <c:pt idx="0">
                  <c:v>Wind, MITTEL</c:v>
                </c:pt>
              </c:strCache>
            </c:strRef>
          </c:tx>
          <c:val>
            <c:numRef>
              <c:f>Sheet1!$G$691:$M$691</c:f>
              <c:numCache>
                <c:formatCode>0</c:formatCode>
                <c:ptCount val="7"/>
                <c:pt idx="0">
                  <c:v>0.6</c:v>
                </c:pt>
                <c:pt idx="1">
                  <c:v>1.2333333333333332</c:v>
                </c:pt>
                <c:pt idx="2">
                  <c:v>1.8666666666666663</c:v>
                </c:pt>
                <c:pt idx="3">
                  <c:v>2.5</c:v>
                </c:pt>
                <c:pt idx="4">
                  <c:v>2.6666666666666665</c:v>
                </c:pt>
                <c:pt idx="5">
                  <c:v>2.833333333333333</c:v>
                </c:pt>
                <c:pt idx="6">
                  <c:v>3</c:v>
                </c:pt>
              </c:numCache>
            </c:numRef>
          </c:val>
        </c:ser>
        <c:ser>
          <c:idx val="6"/>
          <c:order val="5"/>
          <c:tx>
            <c:strRef>
              <c:f>Sheet1!$C$692</c:f>
              <c:strCache>
                <c:ptCount val="1"/>
                <c:pt idx="0">
                  <c:v>Geothermie, MITTEL</c:v>
                </c:pt>
              </c:strCache>
            </c:strRef>
          </c:tx>
          <c:val>
            <c:numRef>
              <c:f>Sheet1!$G$692:$M$692</c:f>
              <c:numCache>
                <c:formatCode>0</c:formatCode>
                <c:ptCount val="7"/>
                <c:pt idx="0">
                  <c:v>0</c:v>
                </c:pt>
                <c:pt idx="1">
                  <c:v>0.53333333333333333</c:v>
                </c:pt>
                <c:pt idx="2">
                  <c:v>1.0666666666666667</c:v>
                </c:pt>
                <c:pt idx="3">
                  <c:v>1.6</c:v>
                </c:pt>
                <c:pt idx="4">
                  <c:v>2.4</c:v>
                </c:pt>
                <c:pt idx="5">
                  <c:v>3.1999999999999997</c:v>
                </c:pt>
                <c:pt idx="6">
                  <c:v>4</c:v>
                </c:pt>
              </c:numCache>
            </c:numRef>
          </c:val>
        </c:ser>
        <c:ser>
          <c:idx val="7"/>
          <c:order val="6"/>
          <c:tx>
            <c:strRef>
              <c:f>Sheet1!$C$693</c:f>
              <c:strCache>
                <c:ptCount val="1"/>
                <c:pt idx="0">
                  <c:v>Biomasse-WKK, MITTEL</c:v>
                </c:pt>
              </c:strCache>
            </c:strRef>
          </c:tx>
          <c:val>
            <c:numRef>
              <c:f>Sheet1!$G$693:$M$693</c:f>
              <c:numCache>
                <c:formatCode>0</c:formatCode>
                <c:ptCount val="7"/>
                <c:pt idx="0">
                  <c:v>1.5</c:v>
                </c:pt>
                <c:pt idx="1">
                  <c:v>2.8333333333333335</c:v>
                </c:pt>
                <c:pt idx="2">
                  <c:v>4.1666666666666661</c:v>
                </c:pt>
                <c:pt idx="3">
                  <c:v>5.5000000000000009</c:v>
                </c:pt>
                <c:pt idx="4">
                  <c:v>5.666666666666667</c:v>
                </c:pt>
                <c:pt idx="5">
                  <c:v>5.833333333333333</c:v>
                </c:pt>
                <c:pt idx="6">
                  <c:v>6</c:v>
                </c:pt>
              </c:numCache>
            </c:numRef>
          </c:val>
        </c:ser>
        <c:ser>
          <c:idx val="2"/>
          <c:order val="7"/>
          <c:tx>
            <c:strRef>
              <c:f>Sheet1!$C$696</c:f>
              <c:strCache>
                <c:ptCount val="1"/>
                <c:pt idx="0">
                  <c:v>GuD/Import = Demand MITTEL - Zubau (50% cum prob.)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Sheet1!$G$696:$M$696</c:f>
              <c:numCache>
                <c:formatCode>0</c:formatCode>
                <c:ptCount val="7"/>
                <c:pt idx="0">
                  <c:v>2</c:v>
                </c:pt>
                <c:pt idx="1">
                  <c:v>6.7999999999999936</c:v>
                </c:pt>
                <c:pt idx="2">
                  <c:v>7.5999999999999925</c:v>
                </c:pt>
                <c:pt idx="3">
                  <c:v>8.3999999999999986</c:v>
                </c:pt>
                <c:pt idx="4">
                  <c:v>8.9333333333333336</c:v>
                </c:pt>
                <c:pt idx="5">
                  <c:v>9.4666666666666668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645184"/>
        <c:axId val="283706496"/>
      </c:areaChart>
      <c:catAx>
        <c:axId val="27964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83706496"/>
        <c:crosses val="autoZero"/>
        <c:auto val="1"/>
        <c:lblAlgn val="ctr"/>
        <c:lblOffset val="100"/>
        <c:noMultiLvlLbl val="0"/>
      </c:catAx>
      <c:valAx>
        <c:axId val="283706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7964518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495799867122"/>
          <c:y val="4.0557149534390394E-2"/>
          <c:w val="0.75126872298857383"/>
          <c:h val="0.8286047531729766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GDP (real)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Sheet1!$D$28:$Z$28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Sheet1!$D$29:$Z$29</c:f>
              <c:numCache>
                <c:formatCode>0%</c:formatCode>
                <c:ptCount val="23"/>
                <c:pt idx="0">
                  <c:v>0.28312582214167359</c:v>
                </c:pt>
                <c:pt idx="1">
                  <c:v>0.43755383196938191</c:v>
                </c:pt>
                <c:pt idx="2">
                  <c:v>0.69548794116766288</c:v>
                </c:pt>
                <c:pt idx="3">
                  <c:v>0.79756588580817367</c:v>
                </c:pt>
                <c:pt idx="4">
                  <c:v>0.99350482183203093</c:v>
                </c:pt>
                <c:pt idx="5">
                  <c:v>1</c:v>
                </c:pt>
                <c:pt idx="6">
                  <c:v>1.0048467235032312</c:v>
                </c:pt>
                <c:pt idx="7">
                  <c:v>1.0253678718608605</c:v>
                </c:pt>
                <c:pt idx="8">
                  <c:v>1.0534033997356249</c:v>
                </c:pt>
                <c:pt idx="9">
                  <c:v>1.0681099347851637</c:v>
                </c:pt>
                <c:pt idx="10">
                  <c:v>1.1073222583477205</c:v>
                </c:pt>
                <c:pt idx="11">
                  <c:v>1.12108795267943</c:v>
                </c:pt>
                <c:pt idx="12">
                  <c:v>1.1231661119547931</c:v>
                </c:pt>
                <c:pt idx="13">
                  <c:v>1.1234029399879681</c:v>
                </c:pt>
                <c:pt idx="14">
                  <c:v>1.150602053620599</c:v>
                </c:pt>
                <c:pt idx="15">
                  <c:v>1.1816102280794085</c:v>
                </c:pt>
                <c:pt idx="16">
                  <c:v>1.2259390062918594</c:v>
                </c:pt>
                <c:pt idx="17">
                  <c:v>1.2730851641515755</c:v>
                </c:pt>
                <c:pt idx="18">
                  <c:v>1.3006379860444983</c:v>
                </c:pt>
                <c:pt idx="19">
                  <c:v>1.2754468299936843</c:v>
                </c:pt>
                <c:pt idx="20">
                  <c:v>1.3131136053082955</c:v>
                </c:pt>
                <c:pt idx="21">
                  <c:v>1.3366220472738197</c:v>
                </c:pt>
                <c:pt idx="22">
                  <c:v>1.3506444617287729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Sheet1!$C$30</c:f>
              <c:strCache>
                <c:ptCount val="1"/>
                <c:pt idx="0">
                  <c:v>Electricity Demand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Sheet1!$D$28:$Z$28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Sheet1!$D$30:$Z$30</c:f>
              <c:numCache>
                <c:formatCode>0%</c:formatCode>
                <c:ptCount val="23"/>
                <c:pt idx="0">
                  <c:v>0.20132826531890899</c:v>
                </c:pt>
                <c:pt idx="1">
                  <c:v>0.33187836765381562</c:v>
                </c:pt>
                <c:pt idx="2">
                  <c:v>0.52393383735015242</c:v>
                </c:pt>
                <c:pt idx="3">
                  <c:v>0.73622655695250827</c:v>
                </c:pt>
                <c:pt idx="4">
                  <c:v>0.97276638402740068</c:v>
                </c:pt>
                <c:pt idx="5">
                  <c:v>1</c:v>
                </c:pt>
                <c:pt idx="6">
                  <c:v>1.0169165866087464</c:v>
                </c:pt>
                <c:pt idx="7">
                  <c:v>1.0152458126226975</c:v>
                </c:pt>
                <c:pt idx="8">
                  <c:v>1.0362975648469153</c:v>
                </c:pt>
                <c:pt idx="9">
                  <c:v>1.0695668518441168</c:v>
                </c:pt>
                <c:pt idx="10">
                  <c:v>1.0937930746418278</c:v>
                </c:pt>
                <c:pt idx="11">
                  <c:v>1.1225303872018713</c:v>
                </c:pt>
                <c:pt idx="12">
                  <c:v>1.128378096153043</c:v>
                </c:pt>
                <c:pt idx="13">
                  <c:v>1.1512050457374379</c:v>
                </c:pt>
                <c:pt idx="14">
                  <c:v>1.1731130696295058</c:v>
                </c:pt>
                <c:pt idx="15">
                  <c:v>1.1973184077523913</c:v>
                </c:pt>
                <c:pt idx="16">
                  <c:v>1.2067582807735684</c:v>
                </c:pt>
                <c:pt idx="17">
                  <c:v>1.1994486445846038</c:v>
                </c:pt>
                <c:pt idx="18">
                  <c:v>1.2265360678334238</c:v>
                </c:pt>
                <c:pt idx="19">
                  <c:v>1.2007434944237918</c:v>
                </c:pt>
                <c:pt idx="20">
                  <c:v>1.2485902844492711</c:v>
                </c:pt>
                <c:pt idx="21">
                  <c:v>1.2238210601060941</c:v>
                </c:pt>
                <c:pt idx="22">
                  <c:v>1.2316319284908734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Sheet1!$C$31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Sheet1!$D$28:$Z$28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Sheet1!$D$31:$Z$31</c:f>
              <c:numCache>
                <c:formatCode>0%</c:formatCode>
                <c:ptCount val="23"/>
                <c:pt idx="0">
                  <c:v>0.66794109317473804</c:v>
                </c:pt>
                <c:pt idx="1">
                  <c:v>0.75899178702917025</c:v>
                </c:pt>
                <c:pt idx="2">
                  <c:v>0.87694704049844241</c:v>
                </c:pt>
                <c:pt idx="3">
                  <c:v>0.89705465873690171</c:v>
                </c:pt>
                <c:pt idx="4">
                  <c:v>0.95596148399886716</c:v>
                </c:pt>
                <c:pt idx="5">
                  <c:v>1</c:v>
                </c:pt>
                <c:pt idx="6">
                  <c:v>1.002690455961484</c:v>
                </c:pt>
                <c:pt idx="7">
                  <c:v>1.0048145001416029</c:v>
                </c:pt>
                <c:pt idx="8">
                  <c:v>1.0087138204474653</c:v>
                </c:pt>
                <c:pt idx="9">
                  <c:v>1.0144435004248089</c:v>
                </c:pt>
                <c:pt idx="10">
                  <c:v>1.0201076182384594</c:v>
                </c:pt>
                <c:pt idx="11">
                  <c:v>1.0274709713962051</c:v>
                </c:pt>
                <c:pt idx="12">
                  <c:v>1.0356839422259982</c:v>
                </c:pt>
                <c:pt idx="13">
                  <c:v>1.0427640894930614</c:v>
                </c:pt>
                <c:pt idx="14">
                  <c:v>1.0500002832058906</c:v>
                </c:pt>
                <c:pt idx="15">
                  <c:v>1.0562344944774851</c:v>
                </c:pt>
                <c:pt idx="16">
                  <c:v>1.0632595581988105</c:v>
                </c:pt>
                <c:pt idx="17">
                  <c:v>1.0752611158312093</c:v>
                </c:pt>
                <c:pt idx="18">
                  <c:v>1.0906054941942791</c:v>
                </c:pt>
                <c:pt idx="19">
                  <c:v>1.1024930614556783</c:v>
                </c:pt>
                <c:pt idx="20">
                  <c:v>1.1144151798357407</c:v>
                </c:pt>
                <c:pt idx="21">
                  <c:v>1.1264035683942226</c:v>
                </c:pt>
                <c:pt idx="22">
                  <c:v>1.1383545737751346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51360"/>
        <c:axId val="337768832"/>
      </c:lineChart>
      <c:dateAx>
        <c:axId val="3287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768832"/>
        <c:crosses val="autoZero"/>
        <c:auto val="0"/>
        <c:lblOffset val="100"/>
        <c:baseTimeUnit val="days"/>
        <c:majorUnit val="10"/>
        <c:majorTimeUnit val="days"/>
        <c:minorUnit val="5"/>
        <c:minorTimeUnit val="years"/>
      </c:dateAx>
      <c:valAx>
        <c:axId val="337768832"/>
        <c:scaling>
          <c:orientation val="minMax"/>
          <c:max val="1.4"/>
          <c:min val="0.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baseline="0"/>
                  <a:t>indexed  to year 1995</a:t>
                </a:r>
                <a:endParaRPr lang="de-CH"/>
              </a:p>
            </c:rich>
          </c:tx>
          <c:layout>
            <c:manualLayout>
              <c:xMode val="edge"/>
              <c:yMode val="edge"/>
              <c:x val="0"/>
              <c:y val="0.3052336315103469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32875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961012685914257"/>
          <c:y val="0.53972832847948804"/>
          <c:w val="0.37104572454758944"/>
          <c:h val="0.28218717865746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Sheet1!$D$321</c:f>
              <c:strCache>
                <c:ptCount val="1"/>
                <c:pt idx="0">
                  <c:v>VSE, Szen.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Sheet1!$E$321:$M$321</c:f>
              <c:numCache>
                <c:formatCode>General</c:formatCode>
                <c:ptCount val="9"/>
                <c:pt idx="0">
                  <c:v>17</c:v>
                </c:pt>
                <c:pt idx="1">
                  <c:v>18.200000000000003</c:v>
                </c:pt>
                <c:pt idx="2">
                  <c:v>19.399999999999999</c:v>
                </c:pt>
                <c:pt idx="3">
                  <c:v>20.6</c:v>
                </c:pt>
                <c:pt idx="4">
                  <c:v>21.800000000000004</c:v>
                </c:pt>
                <c:pt idx="5">
                  <c:v>23</c:v>
                </c:pt>
                <c:pt idx="6">
                  <c:v>22.770000000000003</c:v>
                </c:pt>
                <c:pt idx="7">
                  <c:v>22.770000000000003</c:v>
                </c:pt>
                <c:pt idx="8">
                  <c:v>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Sheet1!$D$322</c:f>
              <c:strCache>
                <c:ptCount val="1"/>
                <c:pt idx="0">
                  <c:v>VSE, Szen. 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Sheet1!$E$322:$M$322</c:f>
              <c:numCache>
                <c:formatCode>General</c:formatCode>
                <c:ptCount val="9"/>
                <c:pt idx="0">
                  <c:v>17</c:v>
                </c:pt>
                <c:pt idx="1">
                  <c:v>18.400000000000002</c:v>
                </c:pt>
                <c:pt idx="2">
                  <c:v>19.8</c:v>
                </c:pt>
                <c:pt idx="3">
                  <c:v>21.2</c:v>
                </c:pt>
                <c:pt idx="4">
                  <c:v>22.6</c:v>
                </c:pt>
                <c:pt idx="5">
                  <c:v>24</c:v>
                </c:pt>
                <c:pt idx="6">
                  <c:v>24.09</c:v>
                </c:pt>
                <c:pt idx="7">
                  <c:v>24.42</c:v>
                </c:pt>
                <c:pt idx="8">
                  <c:v>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Sheet1!$D$323</c:f>
              <c:strCache>
                <c:ptCount val="1"/>
                <c:pt idx="0">
                  <c:v>VSE, Szen. 3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Sheet1!$E$323:$M$323</c:f>
              <c:numCache>
                <c:formatCode>General</c:formatCode>
                <c:ptCount val="9"/>
                <c:pt idx="0">
                  <c:v>17</c:v>
                </c:pt>
                <c:pt idx="1">
                  <c:v>18.8</c:v>
                </c:pt>
                <c:pt idx="2">
                  <c:v>20.6</c:v>
                </c:pt>
                <c:pt idx="3">
                  <c:v>22.4</c:v>
                </c:pt>
                <c:pt idx="4">
                  <c:v>24.200000000000003</c:v>
                </c:pt>
                <c:pt idx="5">
                  <c:v>26</c:v>
                </c:pt>
                <c:pt idx="6">
                  <c:v>26.73</c:v>
                </c:pt>
                <c:pt idx="7">
                  <c:v>27.72</c:v>
                </c:pt>
                <c:pt idx="8">
                  <c:v>29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Sheet1!$D$324</c:f>
              <c:strCache>
                <c:ptCount val="1"/>
                <c:pt idx="0">
                  <c:v>BFE, WWB+C, POM+C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 w="19050">
                <a:noFill/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Sheet1!$E$324:$M$324</c:f>
              <c:numCache>
                <c:formatCode>0</c:formatCode>
                <c:ptCount val="9"/>
                <c:pt idx="0">
                  <c:v>19.421851851851851</c:v>
                </c:pt>
                <c:pt idx="1">
                  <c:v>20.394074074074073</c:v>
                </c:pt>
                <c:pt idx="2">
                  <c:v>21.366296296296294</c:v>
                </c:pt>
                <c:pt idx="3">
                  <c:v>22.338518518518516</c:v>
                </c:pt>
                <c:pt idx="4">
                  <c:v>23.310740740740741</c:v>
                </c:pt>
                <c:pt idx="5">
                  <c:v>24.69962962962963</c:v>
                </c:pt>
                <c:pt idx="6">
                  <c:v>24.144074074074073</c:v>
                </c:pt>
                <c:pt idx="7">
                  <c:v>24.190370370370371</c:v>
                </c:pt>
                <c:pt idx="8">
                  <c:v>24.236666666666665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Sheet1!$D$325</c:f>
              <c:strCache>
                <c:ptCount val="1"/>
                <c:pt idx="0">
                  <c:v>BFE, NEP+C+E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9050">
                <a:noFill/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Sheet1!$E$325:$M$325</c:f>
              <c:numCache>
                <c:formatCode>0</c:formatCode>
                <c:ptCount val="9"/>
                <c:pt idx="0">
                  <c:v>19.421851851851851</c:v>
                </c:pt>
                <c:pt idx="1">
                  <c:v>21.042222222222222</c:v>
                </c:pt>
                <c:pt idx="2">
                  <c:v>22.662592592592592</c:v>
                </c:pt>
                <c:pt idx="3">
                  <c:v>24.282962962962962</c:v>
                </c:pt>
                <c:pt idx="4">
                  <c:v>25.903333333333332</c:v>
                </c:pt>
                <c:pt idx="5">
                  <c:v>27.292222222222222</c:v>
                </c:pt>
                <c:pt idx="6">
                  <c:v>27.477407407407402</c:v>
                </c:pt>
                <c:pt idx="7">
                  <c:v>28.07925925925926</c:v>
                </c:pt>
                <c:pt idx="8">
                  <c:v>28.681111111111111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Sheet1!$D$327</c:f>
              <c:strCache>
                <c:ptCount val="1"/>
                <c:pt idx="0">
                  <c:v>Cleantech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noFill/>
              <a:ln w="19050">
                <a:solidFill>
                  <a:srgbClr val="FC0AFC"/>
                </a:solidFill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Sheet1!$E$327:$M$327</c:f>
              <c:numCache>
                <c:formatCode>General</c:formatCode>
                <c:ptCount val="9"/>
                <c:pt idx="0">
                  <c:v>17</c:v>
                </c:pt>
                <c:pt idx="8" formatCode="0.0">
                  <c:v>22.1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Sheet1!$D$328</c:f>
              <c:strCache>
                <c:ptCount val="1"/>
                <c:pt idx="0">
                  <c:v>SCS, WWB+C+E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noFill/>
              <a:ln w="19050">
                <a:solidFill>
                  <a:schemeClr val="accent6"/>
                </a:solidFill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Sheet1!$E$328:$M$328</c:f>
              <c:numCache>
                <c:formatCode>General</c:formatCode>
                <c:ptCount val="9"/>
                <c:pt idx="8" formatCode="0.0">
                  <c:v>15.4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Sheet1!$D$329</c:f>
              <c:strCache>
                <c:ptCount val="1"/>
                <c:pt idx="0">
                  <c:v>SCS, NEP+E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noFill/>
              <a:ln w="19050">
                <a:solidFill>
                  <a:schemeClr val="accent6"/>
                </a:solidFill>
              </a:ln>
            </c:spPr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Sheet1!$E$329:$M$329</c:f>
              <c:numCache>
                <c:formatCode>General</c:formatCode>
                <c:ptCount val="9"/>
                <c:pt idx="8" formatCode="0.0">
                  <c:v>15.957000000000001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Sheet1!$D$330</c:f>
              <c:strCache>
                <c:ptCount val="1"/>
                <c:pt idx="0">
                  <c:v>average (excl. SCS)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Sheet1!$E$319:$M$319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Sheet1!$E$330:$M$330</c:f>
              <c:numCache>
                <c:formatCode>0.0</c:formatCode>
                <c:ptCount val="9"/>
                <c:pt idx="1">
                  <c:v>19.36725925925926</c:v>
                </c:pt>
                <c:pt idx="2">
                  <c:v>20.765777777777778</c:v>
                </c:pt>
                <c:pt idx="3">
                  <c:v>22.164296296296293</c:v>
                </c:pt>
                <c:pt idx="4">
                  <c:v>23.562814814814818</c:v>
                </c:pt>
                <c:pt idx="5">
                  <c:v>24.99837037037037</c:v>
                </c:pt>
                <c:pt idx="6">
                  <c:v>25.042296296296293</c:v>
                </c:pt>
                <c:pt idx="7">
                  <c:v>25.435925925925925</c:v>
                </c:pt>
                <c:pt idx="8">
                  <c:v>25.336296296296297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347456"/>
        <c:axId val="419472512"/>
      </c:lineChart>
      <c:catAx>
        <c:axId val="4193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472512"/>
        <c:crosses val="autoZero"/>
        <c:auto val="1"/>
        <c:lblAlgn val="ctr"/>
        <c:lblOffset val="100"/>
        <c:noMultiLvlLbl val="0"/>
      </c:catAx>
      <c:valAx>
        <c:axId val="419472512"/>
        <c:scaling>
          <c:orientation val="minMax"/>
          <c:min val="14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Rp./kWh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9347456"/>
        <c:crosses val="autoZero"/>
        <c:crossBetween val="between"/>
      </c:valAx>
    </c:plotArea>
    <c:legend>
      <c:legendPos val="r"/>
      <c:legendEntry>
        <c:idx val="4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Sheet1!$C$336</c:f>
              <c:strCache>
                <c:ptCount val="1"/>
                <c:pt idx="0">
                  <c:v>ETH/ESC, mittel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Sheet1!$D$336:$M$336</c:f>
              <c:numCache>
                <c:formatCode>General</c:formatCode>
                <c:ptCount val="10"/>
                <c:pt idx="1">
                  <c:v>8.1999999999999993</c:v>
                </c:pt>
                <c:pt idx="2">
                  <c:v>8.6499999999999986</c:v>
                </c:pt>
                <c:pt idx="3">
                  <c:v>9.1</c:v>
                </c:pt>
                <c:pt idx="4">
                  <c:v>9.9</c:v>
                </c:pt>
                <c:pt idx="5">
                  <c:v>9.8000000000000007</c:v>
                </c:pt>
                <c:pt idx="6">
                  <c:v>9.6999999999999993</c:v>
                </c:pt>
                <c:pt idx="7">
                  <c:v>9.6999999999999993</c:v>
                </c:pt>
                <c:pt idx="8">
                  <c:v>9.6999999999999993</c:v>
                </c:pt>
                <c:pt idx="9">
                  <c:v>9.6999999999999993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Sheet1!$C$337</c:f>
              <c:strCache>
                <c:ptCount val="1"/>
                <c:pt idx="0">
                  <c:v>VSE, Szen. 1 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Sheet1!$D$337:$M$337</c:f>
              <c:numCache>
                <c:formatCode>0.00</c:formatCode>
                <c:ptCount val="10"/>
                <c:pt idx="2" formatCode="0.0">
                  <c:v>8.19</c:v>
                </c:pt>
                <c:pt idx="3" formatCode="0.0">
                  <c:v>9.23</c:v>
                </c:pt>
                <c:pt idx="4" formatCode="0.0">
                  <c:v>10.27</c:v>
                </c:pt>
                <c:pt idx="5" formatCode="0.0">
                  <c:v>11.635</c:v>
                </c:pt>
                <c:pt idx="6" formatCode="0.0">
                  <c:v>13</c:v>
                </c:pt>
                <c:pt idx="7" formatCode="0.0">
                  <c:v>12.6555</c:v>
                </c:pt>
                <c:pt idx="8" formatCode="0.0">
                  <c:v>12.441000000000001</c:v>
                </c:pt>
                <c:pt idx="9" formatCode="0.0">
                  <c:v>12.35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Sheet1!$C$338</c:f>
              <c:strCache>
                <c:ptCount val="1"/>
                <c:pt idx="0">
                  <c:v>VSE, Szen. 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Sheet1!$D$338:$M$338</c:f>
              <c:numCache>
                <c:formatCode>0.00</c:formatCode>
                <c:ptCount val="10"/>
                <c:pt idx="2" formatCode="0.0">
                  <c:v>8.06</c:v>
                </c:pt>
                <c:pt idx="3" formatCode="0.0">
                  <c:v>9.1</c:v>
                </c:pt>
                <c:pt idx="4" formatCode="0.0">
                  <c:v>10.14</c:v>
                </c:pt>
                <c:pt idx="5" formatCode="0.0">
                  <c:v>11.57</c:v>
                </c:pt>
                <c:pt idx="6" formatCode="0.0">
                  <c:v>13</c:v>
                </c:pt>
                <c:pt idx="7" formatCode="0.0">
                  <c:v>12.5268</c:v>
                </c:pt>
                <c:pt idx="8" formatCode="0.0">
                  <c:v>12.1836</c:v>
                </c:pt>
                <c:pt idx="9" formatCode="0.0">
                  <c:v>11.96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Sheet1!$C$339</c:f>
              <c:strCache>
                <c:ptCount val="1"/>
                <c:pt idx="0">
                  <c:v>VSE, Szen. 3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Sheet1!$D$339:$M$339</c:f>
              <c:numCache>
                <c:formatCode>0.00</c:formatCode>
                <c:ptCount val="10"/>
                <c:pt idx="2" formatCode="0.0">
                  <c:v>7.8000000000000007</c:v>
                </c:pt>
                <c:pt idx="3" formatCode="0.0">
                  <c:v>8.7750000000000004</c:v>
                </c:pt>
                <c:pt idx="4" formatCode="0.0">
                  <c:v>9.75</c:v>
                </c:pt>
                <c:pt idx="5" formatCode="0.0">
                  <c:v>11.245000000000001</c:v>
                </c:pt>
                <c:pt idx="6" formatCode="0.0">
                  <c:v>12.74</c:v>
                </c:pt>
                <c:pt idx="7" formatCode="0.0">
                  <c:v>11.840400000000002</c:v>
                </c:pt>
                <c:pt idx="8" formatCode="0.0">
                  <c:v>11.068200000000003</c:v>
                </c:pt>
                <c:pt idx="9" formatCode="0.0">
                  <c:v>10.4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Sheet1!$C$340</c:f>
              <c:strCache>
                <c:ptCount val="1"/>
                <c:pt idx="0">
                  <c:v>BFE, WWB+C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x"/>
            <c:size val="5"/>
            <c:spPr>
              <a:ln>
                <a:solidFill>
                  <a:sysClr val="windowText" lastClr="000000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Sheet1!$D$340:$M$340</c:f>
              <c:numCache>
                <c:formatCode>General</c:formatCode>
                <c:ptCount val="10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10.15</c:v>
                </c:pt>
                <c:pt idx="5">
                  <c:v>11.3</c:v>
                </c:pt>
                <c:pt idx="6">
                  <c:v>12.5</c:v>
                </c:pt>
                <c:pt idx="7">
                  <c:v>12.4</c:v>
                </c:pt>
                <c:pt idx="8">
                  <c:v>12.25</c:v>
                </c:pt>
                <c:pt idx="9">
                  <c:v>12.1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Sheet1!$C$341</c:f>
              <c:strCache>
                <c:ptCount val="1"/>
                <c:pt idx="0">
                  <c:v>BFE, WWB+C+E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Sheet1!$D$341:$M$341</c:f>
              <c:numCache>
                <c:formatCode>General</c:formatCode>
                <c:ptCount val="10"/>
                <c:pt idx="1">
                  <c:v>7</c:v>
                </c:pt>
                <c:pt idx="2">
                  <c:v>7.9</c:v>
                </c:pt>
                <c:pt idx="3">
                  <c:v>8.8000000000000007</c:v>
                </c:pt>
                <c:pt idx="4">
                  <c:v>9.8000000000000007</c:v>
                </c:pt>
                <c:pt idx="5">
                  <c:v>10.8</c:v>
                </c:pt>
                <c:pt idx="6">
                  <c:v>12.1</c:v>
                </c:pt>
                <c:pt idx="7">
                  <c:v>12.1</c:v>
                </c:pt>
                <c:pt idx="8">
                  <c:v>12.2</c:v>
                </c:pt>
                <c:pt idx="9">
                  <c:v>12.3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Sheet1!$C$342</c:f>
              <c:strCache>
                <c:ptCount val="1"/>
                <c:pt idx="0">
                  <c:v>BFE, NEP+C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ln w="19050">
                <a:solidFill>
                  <a:sysClr val="windowText" lastClr="000000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Sheet1!$D$342:$M$342</c:f>
              <c:numCache>
                <c:formatCode>General</c:formatCode>
                <c:ptCount val="10"/>
                <c:pt idx="1">
                  <c:v>7</c:v>
                </c:pt>
                <c:pt idx="2">
                  <c:v>7.95</c:v>
                </c:pt>
                <c:pt idx="3">
                  <c:v>8.9</c:v>
                </c:pt>
                <c:pt idx="4">
                  <c:v>10.050000000000001</c:v>
                </c:pt>
                <c:pt idx="5">
                  <c:v>11.2</c:v>
                </c:pt>
                <c:pt idx="6">
                  <c:v>12.5</c:v>
                </c:pt>
                <c:pt idx="7">
                  <c:v>12.3</c:v>
                </c:pt>
                <c:pt idx="8">
                  <c:v>12.15</c:v>
                </c:pt>
                <c:pt idx="9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Sheet1!$C$343</c:f>
              <c:strCache>
                <c:ptCount val="1"/>
                <c:pt idx="0">
                  <c:v>BFE, NEP+C+E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Sheet1!$D$343:$M$343</c:f>
              <c:numCache>
                <c:formatCode>General</c:formatCode>
                <c:ptCount val="10"/>
                <c:pt idx="1">
                  <c:v>7</c:v>
                </c:pt>
                <c:pt idx="2">
                  <c:v>7.85</c:v>
                </c:pt>
                <c:pt idx="3">
                  <c:v>8.6999999999999993</c:v>
                </c:pt>
                <c:pt idx="4">
                  <c:v>9.6999999999999993</c:v>
                </c:pt>
                <c:pt idx="5">
                  <c:v>10.7</c:v>
                </c:pt>
                <c:pt idx="6">
                  <c:v>12</c:v>
                </c:pt>
                <c:pt idx="7">
                  <c:v>12</c:v>
                </c:pt>
                <c:pt idx="8">
                  <c:v>12.05</c:v>
                </c:pt>
                <c:pt idx="9">
                  <c:v>12.1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Sheet1!$C$344</c:f>
              <c:strCache>
                <c:ptCount val="1"/>
                <c:pt idx="0">
                  <c:v>BFE, NEP+E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Sheet1!$D$344:$M$344</c:f>
              <c:numCache>
                <c:formatCode>General</c:formatCode>
                <c:ptCount val="10"/>
                <c:pt idx="1">
                  <c:v>7</c:v>
                </c:pt>
                <c:pt idx="2">
                  <c:v>7.95</c:v>
                </c:pt>
                <c:pt idx="3">
                  <c:v>8.9</c:v>
                </c:pt>
                <c:pt idx="4">
                  <c:v>10</c:v>
                </c:pt>
                <c:pt idx="5">
                  <c:v>11.1</c:v>
                </c:pt>
                <c:pt idx="6">
                  <c:v>12.2</c:v>
                </c:pt>
                <c:pt idx="7">
                  <c:v>12</c:v>
                </c:pt>
                <c:pt idx="8">
                  <c:v>11.9</c:v>
                </c:pt>
                <c:pt idx="9">
                  <c:v>11.8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Sheet1!$C$345</c:f>
              <c:strCache>
                <c:ptCount val="1"/>
                <c:pt idx="0">
                  <c:v>BFE, POM+C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Sheet1!$D$345:$M$345</c:f>
              <c:numCache>
                <c:formatCode>General</c:formatCode>
                <c:ptCount val="10"/>
                <c:pt idx="1">
                  <c:v>7</c:v>
                </c:pt>
                <c:pt idx="2">
                  <c:v>7.95</c:v>
                </c:pt>
                <c:pt idx="3">
                  <c:v>8.9</c:v>
                </c:pt>
                <c:pt idx="4">
                  <c:v>10.15</c:v>
                </c:pt>
                <c:pt idx="5">
                  <c:v>11.4</c:v>
                </c:pt>
                <c:pt idx="6">
                  <c:v>13</c:v>
                </c:pt>
                <c:pt idx="7">
                  <c:v>12.8</c:v>
                </c:pt>
                <c:pt idx="8">
                  <c:v>12.55</c:v>
                </c:pt>
                <c:pt idx="9">
                  <c:v>12.3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Sheet1!$C$346</c:f>
              <c:strCache>
                <c:ptCount val="1"/>
                <c:pt idx="0">
                  <c:v>BFE, POM+C+E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Sheet1!$D$346:$M$346</c:f>
              <c:numCache>
                <c:formatCode>General</c:formatCode>
                <c:ptCount val="10"/>
                <c:pt idx="1">
                  <c:v>7</c:v>
                </c:pt>
                <c:pt idx="2">
                  <c:v>7.9</c:v>
                </c:pt>
                <c:pt idx="3">
                  <c:v>8.8000000000000007</c:v>
                </c:pt>
                <c:pt idx="4">
                  <c:v>9.9</c:v>
                </c:pt>
                <c:pt idx="5">
                  <c:v>11</c:v>
                </c:pt>
                <c:pt idx="6">
                  <c:v>12.9</c:v>
                </c:pt>
                <c:pt idx="7">
                  <c:v>12.9</c:v>
                </c:pt>
                <c:pt idx="8">
                  <c:v>12.95</c:v>
                </c:pt>
                <c:pt idx="9">
                  <c:v>13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Sheet1!$C$347</c:f>
              <c:strCache>
                <c:ptCount val="1"/>
                <c:pt idx="0">
                  <c:v>BFE, POM+E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Sheet1!$D$347:$M$347</c:f>
              <c:numCache>
                <c:formatCode>General</c:formatCode>
                <c:ptCount val="10"/>
                <c:pt idx="1">
                  <c:v>7</c:v>
                </c:pt>
                <c:pt idx="2">
                  <c:v>7.95</c:v>
                </c:pt>
                <c:pt idx="3">
                  <c:v>8.9</c:v>
                </c:pt>
                <c:pt idx="4">
                  <c:v>10.050000000000001</c:v>
                </c:pt>
                <c:pt idx="5">
                  <c:v>11.2</c:v>
                </c:pt>
                <c:pt idx="6">
                  <c:v>12.4</c:v>
                </c:pt>
                <c:pt idx="7">
                  <c:v>12.1</c:v>
                </c:pt>
                <c:pt idx="8">
                  <c:v>12</c:v>
                </c:pt>
                <c:pt idx="9">
                  <c:v>11.9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Sheet1!$C$348</c:f>
              <c:strCache>
                <c:ptCount val="1"/>
                <c:pt idx="0">
                  <c:v>Greenpeace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diamond"/>
            <c:size val="5"/>
            <c:spPr>
              <a:solidFill>
                <a:schemeClr val="accent3"/>
              </a:solidFill>
              <a:ln w="19050">
                <a:solidFill>
                  <a:schemeClr val="accent3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Sheet1!$D$348:$M$348</c:f>
              <c:numCache>
                <c:formatCode>0.0</c:formatCode>
                <c:ptCount val="10"/>
                <c:pt idx="1">
                  <c:v>7.0000000000000009</c:v>
                </c:pt>
                <c:pt idx="2">
                  <c:v>7.3</c:v>
                </c:pt>
                <c:pt idx="3">
                  <c:v>8</c:v>
                </c:pt>
                <c:pt idx="4">
                  <c:v>10</c:v>
                </c:pt>
                <c:pt idx="5">
                  <c:v>10.333333333333334</c:v>
                </c:pt>
                <c:pt idx="6">
                  <c:v>10.666666666666666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Sheet1!$C$349</c:f>
              <c:strCache>
                <c:ptCount val="1"/>
                <c:pt idx="0">
                  <c:v>(Cleantech = NA)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Sheet1!$D$349:$M$349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14"/>
          <c:order val="14"/>
          <c:tx>
            <c:strRef>
              <c:f>Sheet1!$C$350</c:f>
              <c:strCache>
                <c:ptCount val="1"/>
                <c:pt idx="0">
                  <c:v>SCS, WWB+C+E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Sheet1!$D$350:$M$350</c:f>
              <c:numCache>
                <c:formatCode>General</c:formatCode>
                <c:ptCount val="10"/>
                <c:pt idx="9" formatCode="0.0">
                  <c:v>8.0807594598208308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Sheet1!$C$351</c:f>
              <c:strCache>
                <c:ptCount val="1"/>
                <c:pt idx="0">
                  <c:v>SCS, NEP+E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8"/>
            <c:spPr>
              <a:noFill/>
              <a:ln w="25400">
                <a:solidFill>
                  <a:schemeClr val="accent6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Sheet1!$D$351:$M$351</c:f>
              <c:numCache>
                <c:formatCode>General</c:formatCode>
                <c:ptCount val="10"/>
                <c:pt idx="9" formatCode="0.0">
                  <c:v>8.4069666435024324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Sheet1!$C$352</c:f>
              <c:strCache>
                <c:ptCount val="1"/>
                <c:pt idx="0">
                  <c:v>SCS, Nuclear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noFill/>
              <a:ln w="25400">
                <a:solidFill>
                  <a:schemeClr val="accent6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Sheet1!$D$352:$M$352</c:f>
              <c:numCache>
                <c:formatCode>0.0</c:formatCode>
                <c:ptCount val="10"/>
                <c:pt idx="9">
                  <c:v>9.6850499999999986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Sheet1!$C$353</c:f>
              <c:strCache>
                <c:ptCount val="1"/>
                <c:pt idx="0">
                  <c:v>PSI-elc, WWB+Gas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triangle"/>
            <c:size val="7"/>
            <c:spPr>
              <a:solidFill>
                <a:schemeClr val="accent4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Sheet1!$D$353:$M$353</c:f>
              <c:numCache>
                <c:formatCode>0.0</c:formatCode>
                <c:ptCount val="10"/>
                <c:pt idx="1">
                  <c:v>6.2252114385464381</c:v>
                </c:pt>
                <c:pt idx="2">
                  <c:v>6.2957153988353607</c:v>
                </c:pt>
                <c:pt idx="3">
                  <c:v>7.0016069138246699</c:v>
                </c:pt>
                <c:pt idx="4">
                  <c:v>8.0229060934985927</c:v>
                </c:pt>
                <c:pt idx="5">
                  <c:v>9.2108095725049708</c:v>
                </c:pt>
                <c:pt idx="6">
                  <c:v>10.398713051511349</c:v>
                </c:pt>
                <c:pt idx="7">
                  <c:v>10.871754654166674</c:v>
                </c:pt>
                <c:pt idx="8">
                  <c:v>11.344796256822001</c:v>
                </c:pt>
                <c:pt idx="9">
                  <c:v>11.817837859477326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Sheet1!$C$354</c:f>
              <c:strCache>
                <c:ptCount val="1"/>
                <c:pt idx="0">
                  <c:v>PSI-elc, WWB+Import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Sheet1!$D$354:$M$354</c:f>
              <c:numCache>
                <c:formatCode>0.0</c:formatCode>
                <c:ptCount val="10"/>
                <c:pt idx="1">
                  <c:v>6.2252114385464434</c:v>
                </c:pt>
                <c:pt idx="2">
                  <c:v>6.2664006093209688</c:v>
                </c:pt>
                <c:pt idx="3">
                  <c:v>6.1672981504978619</c:v>
                </c:pt>
                <c:pt idx="4">
                  <c:v>6.7276218495689966</c:v>
                </c:pt>
                <c:pt idx="5">
                  <c:v>7.9970408654702378</c:v>
                </c:pt>
                <c:pt idx="6">
                  <c:v>9.26645988137148</c:v>
                </c:pt>
                <c:pt idx="7">
                  <c:v>9.7415542079430661</c:v>
                </c:pt>
                <c:pt idx="8">
                  <c:v>10.216648534514654</c:v>
                </c:pt>
                <c:pt idx="9">
                  <c:v>10.69174286108624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Sheet1!$C$355</c:f>
              <c:strCache>
                <c:ptCount val="1"/>
                <c:pt idx="0">
                  <c:v>PSI-elc, WWB+Nuclear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x"/>
            <c:size val="7"/>
            <c:spPr>
              <a:noFill/>
              <a:ln w="19050">
                <a:solidFill>
                  <a:schemeClr val="accent4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Sheet1!$D$355:$M$355</c:f>
              <c:numCache>
                <c:formatCode>0.0</c:formatCode>
                <c:ptCount val="10"/>
                <c:pt idx="1">
                  <c:v>6.2252114385464434</c:v>
                </c:pt>
                <c:pt idx="2">
                  <c:v>6.2804159724230963</c:v>
                </c:pt>
                <c:pt idx="3">
                  <c:v>6.8810443119983988</c:v>
                </c:pt>
                <c:pt idx="4">
                  <c:v>7.8339208224935302</c:v>
                </c:pt>
                <c:pt idx="5">
                  <c:v>7.6969523246161735</c:v>
                </c:pt>
                <c:pt idx="6">
                  <c:v>7.5599838267388177</c:v>
                </c:pt>
                <c:pt idx="7">
                  <c:v>7.7986533594764236</c:v>
                </c:pt>
                <c:pt idx="8">
                  <c:v>8.0373228922140303</c:v>
                </c:pt>
                <c:pt idx="9">
                  <c:v>8.275992424951637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Sheet1!$C$356</c:f>
              <c:strCache>
                <c:ptCount val="1"/>
                <c:pt idx="0">
                  <c:v>PSI-elc, NEP+Gas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 w="19050">
                <a:solidFill>
                  <a:schemeClr val="tx2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Sheet1!$D$356:$M$356</c:f>
              <c:numCache>
                <c:formatCode>0.0</c:formatCode>
                <c:ptCount val="10"/>
                <c:pt idx="1">
                  <c:v>6.225211438546439</c:v>
                </c:pt>
                <c:pt idx="2">
                  <c:v>6.2807114121479151</c:v>
                </c:pt>
                <c:pt idx="3">
                  <c:v>6.5245917036394809</c:v>
                </c:pt>
                <c:pt idx="4">
                  <c:v>7.2694810066428763</c:v>
                </c:pt>
                <c:pt idx="5">
                  <c:v>8.5744845124992626</c:v>
                </c:pt>
                <c:pt idx="6">
                  <c:v>9.8794880183556479</c:v>
                </c:pt>
                <c:pt idx="7">
                  <c:v>9.9664424968886465</c:v>
                </c:pt>
                <c:pt idx="8">
                  <c:v>10.053396975421647</c:v>
                </c:pt>
                <c:pt idx="9">
                  <c:v>10.140351453954647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Sheet1!$C$357</c:f>
              <c:strCache>
                <c:ptCount val="1"/>
                <c:pt idx="0">
                  <c:v>PSI-elc, NEP+Import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chemeClr val="tx2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Sheet1!$D$357:$M$357</c:f>
              <c:numCache>
                <c:formatCode>0.0</c:formatCode>
                <c:ptCount val="10"/>
                <c:pt idx="1">
                  <c:v>6.2252114385464381</c:v>
                </c:pt>
                <c:pt idx="2">
                  <c:v>6.381804539424933</c:v>
                </c:pt>
                <c:pt idx="3">
                  <c:v>6.4261806798733039</c:v>
                </c:pt>
                <c:pt idx="4">
                  <c:v>6.1828482694652314</c:v>
                </c:pt>
                <c:pt idx="5">
                  <c:v>7.200170802354334</c:v>
                </c:pt>
                <c:pt idx="6">
                  <c:v>8.2174933352434358</c:v>
                </c:pt>
                <c:pt idx="7">
                  <c:v>8.7884484360061919</c:v>
                </c:pt>
                <c:pt idx="8">
                  <c:v>9.3594035367689496</c:v>
                </c:pt>
                <c:pt idx="9">
                  <c:v>9.9303586375317074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Sheet1!$C$358</c:f>
              <c:strCache>
                <c:ptCount val="1"/>
                <c:pt idx="0">
                  <c:v>PSI-elc, NEP+Nuclear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x"/>
            <c:size val="7"/>
            <c:spPr>
              <a:noFill/>
              <a:ln w="19050">
                <a:solidFill>
                  <a:schemeClr val="tx2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Sheet1!$D$358:$M$358</c:f>
              <c:numCache>
                <c:formatCode>0.0</c:formatCode>
                <c:ptCount val="10"/>
                <c:pt idx="1">
                  <c:v>6.2252114385464408</c:v>
                </c:pt>
                <c:pt idx="2">
                  <c:v>6.2807114121478271</c:v>
                </c:pt>
                <c:pt idx="3">
                  <c:v>6.5245917036394774</c:v>
                </c:pt>
                <c:pt idx="4">
                  <c:v>7.241641471356961</c:v>
                </c:pt>
                <c:pt idx="5">
                  <c:v>7.2464445615263529</c:v>
                </c:pt>
                <c:pt idx="6">
                  <c:v>7.2512476516957447</c:v>
                </c:pt>
                <c:pt idx="7">
                  <c:v>7.2529590671478337</c:v>
                </c:pt>
                <c:pt idx="8">
                  <c:v>7.2546704825999226</c:v>
                </c:pt>
                <c:pt idx="9">
                  <c:v>7.2563818980520116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Sheet1!$C$359</c:f>
              <c:strCache>
                <c:ptCount val="1"/>
                <c:pt idx="0">
                  <c:v>PSI-elc, POM+Gas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triangle"/>
            <c:size val="7"/>
            <c:spPr>
              <a:solidFill>
                <a:schemeClr val="accent5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Sheet1!$D$359:$M$359</c:f>
              <c:numCache>
                <c:formatCode>0.0</c:formatCode>
                <c:ptCount val="10"/>
                <c:pt idx="1">
                  <c:v>6.225211438546439</c:v>
                </c:pt>
                <c:pt idx="2">
                  <c:v>6.2738798044433413</c:v>
                </c:pt>
                <c:pt idx="3">
                  <c:v>6.602703057744379</c:v>
                </c:pt>
                <c:pt idx="4">
                  <c:v>7.4697653803428565</c:v>
                </c:pt>
                <c:pt idx="5">
                  <c:v>8.6740486619401</c:v>
                </c:pt>
                <c:pt idx="6">
                  <c:v>9.8783319435373436</c:v>
                </c:pt>
                <c:pt idx="7">
                  <c:v>10.317780612982927</c:v>
                </c:pt>
                <c:pt idx="8">
                  <c:v>10.757229282428511</c:v>
                </c:pt>
                <c:pt idx="9">
                  <c:v>11.196677951874097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Sheet1!$C$360</c:f>
              <c:strCache>
                <c:ptCount val="1"/>
                <c:pt idx="0">
                  <c:v>PSI-elc, POM+Import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circle"/>
            <c:size val="7"/>
            <c:spPr>
              <a:solidFill>
                <a:schemeClr val="accent5"/>
              </a:solidFill>
              <a:ln w="19050">
                <a:noFill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Sheet1!$D$360:$M$360</c:f>
              <c:numCache>
                <c:formatCode>0.0</c:formatCode>
                <c:ptCount val="10"/>
                <c:pt idx="1">
                  <c:v>6.2252114385464408</c:v>
                </c:pt>
                <c:pt idx="2">
                  <c:v>6.3740690230160251</c:v>
                </c:pt>
                <c:pt idx="3">
                  <c:v>6.4087181853839699</c:v>
                </c:pt>
                <c:pt idx="4">
                  <c:v>6.12278999802448</c:v>
                </c:pt>
                <c:pt idx="5">
                  <c:v>7.2361076988236377</c:v>
                </c:pt>
                <c:pt idx="6">
                  <c:v>8.3494253996227954</c:v>
                </c:pt>
                <c:pt idx="7">
                  <c:v>8.8395678152697741</c:v>
                </c:pt>
                <c:pt idx="8">
                  <c:v>9.3297102309167546</c:v>
                </c:pt>
                <c:pt idx="9">
                  <c:v>9.819852646563735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Sheet1!$C$361</c:f>
              <c:strCache>
                <c:ptCount val="1"/>
                <c:pt idx="0">
                  <c:v>PSI-elc, POM+Nuclear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x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Sheet1!$D$361:$M$361</c:f>
              <c:numCache>
                <c:formatCode>0.0</c:formatCode>
                <c:ptCount val="10"/>
                <c:pt idx="1">
                  <c:v>6.2252114385464425</c:v>
                </c:pt>
                <c:pt idx="2">
                  <c:v>6.3022631535594043</c:v>
                </c:pt>
                <c:pt idx="3">
                  <c:v>6.6192589973406939</c:v>
                </c:pt>
                <c:pt idx="4">
                  <c:v>7.5000094758627958</c:v>
                </c:pt>
                <c:pt idx="5">
                  <c:v>7.3863059796160631</c:v>
                </c:pt>
                <c:pt idx="6">
                  <c:v>7.2726024833693304</c:v>
                </c:pt>
                <c:pt idx="7">
                  <c:v>7.2712126195427027</c:v>
                </c:pt>
                <c:pt idx="8">
                  <c:v>7.2698227557160759</c:v>
                </c:pt>
                <c:pt idx="9">
                  <c:v>7.2684328918894492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Sheet1!$C$362</c:f>
              <c:strCache>
                <c:ptCount val="1"/>
                <c:pt idx="0">
                  <c:v>2005-2010 (BFE)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 w="19050">
                <a:noFill/>
                <a:prstDash val="sysDash"/>
              </a:ln>
            </c:spPr>
          </c:marker>
          <c:cat>
            <c:numRef>
              <c:f>Sheet1!$D$335:$M$335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Sheet1!$D$362:$M$362</c:f>
              <c:numCache>
                <c:formatCode>0.0</c:formatCode>
                <c:ptCount val="10"/>
                <c:pt idx="0">
                  <c:v>6.6</c:v>
                </c:pt>
                <c:pt idx="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39904"/>
        <c:axId val="430541440"/>
      </c:lineChart>
      <c:catAx>
        <c:axId val="4305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30541440"/>
        <c:crosses val="autoZero"/>
        <c:auto val="1"/>
        <c:lblAlgn val="ctr"/>
        <c:lblOffset val="100"/>
        <c:noMultiLvlLbl val="0"/>
      </c:catAx>
      <c:valAx>
        <c:axId val="430541440"/>
        <c:scaling>
          <c:orientation val="minMax"/>
          <c:min val="6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Rp./kWh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3053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09799320388565"/>
          <c:y val="2.5770073338360597E-2"/>
          <c:w val="0.29868599805297102"/>
          <c:h val="0.9742299505777394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Sheet1!$D$371</c:f>
              <c:strCache>
                <c:ptCount val="1"/>
                <c:pt idx="0">
                  <c:v>ETH/ESC, max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Sheet1!$E$371:$M$371</c:f>
              <c:numCache>
                <c:formatCode>0</c:formatCode>
                <c:ptCount val="9"/>
                <c:pt idx="0">
                  <c:v>55</c:v>
                </c:pt>
                <c:pt idx="1">
                  <c:v>42.5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13.333333333333332</c:v>
                </c:pt>
                <c:pt idx="7">
                  <c:v>11.666666666666666</c:v>
                </c:pt>
                <c:pt idx="8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Sheet1!$D$372</c:f>
              <c:strCache>
                <c:ptCount val="1"/>
                <c:pt idx="0">
                  <c:v>ETH/ESC, min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Sheet1!$E$372:$M$372</c:f>
              <c:numCache>
                <c:formatCode>0</c:formatCode>
                <c:ptCount val="9"/>
                <c:pt idx="0">
                  <c:v>35</c:v>
                </c:pt>
                <c:pt idx="1">
                  <c:v>27.5</c:v>
                </c:pt>
                <c:pt idx="2">
                  <c:v>20</c:v>
                </c:pt>
                <c:pt idx="3">
                  <c:v>16.666666666666664</c:v>
                </c:pt>
                <c:pt idx="4">
                  <c:v>13.333333333333332</c:v>
                </c:pt>
                <c:pt idx="5">
                  <c:v>10</c:v>
                </c:pt>
                <c:pt idx="6">
                  <c:v>8.6666666666666661</c:v>
                </c:pt>
                <c:pt idx="7">
                  <c:v>7.333333333333333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Sheet1!$D$373</c:f>
              <c:strCache>
                <c:ptCount val="1"/>
                <c:pt idx="0">
                  <c:v>VSE, 10% capex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Sheet1!$E$373:$M$373</c:f>
              <c:numCache>
                <c:formatCode>0</c:formatCode>
                <c:ptCount val="9"/>
                <c:pt idx="0">
                  <c:v>46</c:v>
                </c:pt>
                <c:pt idx="1">
                  <c:v>46</c:v>
                </c:pt>
                <c:pt idx="2">
                  <c:v>41.5</c:v>
                </c:pt>
                <c:pt idx="3">
                  <c:v>37</c:v>
                </c:pt>
                <c:pt idx="4">
                  <c:v>32.5</c:v>
                </c:pt>
                <c:pt idx="5">
                  <c:v>28</c:v>
                </c:pt>
                <c:pt idx="6">
                  <c:v>25.666666666666664</c:v>
                </c:pt>
                <c:pt idx="7">
                  <c:v>23.333333333333332</c:v>
                </c:pt>
                <c:pt idx="8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Sheet1!$D$374</c:f>
              <c:strCache>
                <c:ptCount val="1"/>
                <c:pt idx="0">
                  <c:v>VSE, 5% capex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noFill/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Sheet1!$E$374:$M$374</c:f>
              <c:numCache>
                <c:formatCode>0</c:formatCode>
                <c:ptCount val="9"/>
                <c:pt idx="0">
                  <c:v>29</c:v>
                </c:pt>
                <c:pt idx="1">
                  <c:v>29</c:v>
                </c:pt>
                <c:pt idx="2">
                  <c:v>26.25</c:v>
                </c:pt>
                <c:pt idx="3">
                  <c:v>23.5</c:v>
                </c:pt>
                <c:pt idx="4">
                  <c:v>20.75</c:v>
                </c:pt>
                <c:pt idx="5">
                  <c:v>18</c:v>
                </c:pt>
                <c:pt idx="6">
                  <c:v>16.666666666666664</c:v>
                </c:pt>
                <c:pt idx="7">
                  <c:v>15.333333333333332</c:v>
                </c:pt>
                <c:pt idx="8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Sheet1!$D$375</c:f>
              <c:strCache>
                <c:ptCount val="1"/>
                <c:pt idx="0">
                  <c:v>BFE, max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x"/>
            <c:size val="5"/>
            <c:spPr>
              <a:ln w="15875">
                <a:solidFill>
                  <a:sysClr val="windowText" lastClr="000000"/>
                </a:solidFill>
                <a:prstDash val="solid"/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Sheet1!$E$375:$M$375</c:f>
              <c:numCache>
                <c:formatCode>General</c:formatCode>
                <c:ptCount val="9"/>
                <c:pt idx="0">
                  <c:v>50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Sheet1!$D$376</c:f>
              <c:strCache>
                <c:ptCount val="1"/>
                <c:pt idx="0">
                  <c:v>BFE, min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  <a:prstDash val="sysDash"/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Sheet1!$E$376:$M$376</c:f>
              <c:numCache>
                <c:formatCode>General</c:formatCode>
                <c:ptCount val="9"/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Sheet1!$D$377</c:f>
              <c:strCache>
                <c:ptCount val="1"/>
                <c:pt idx="0">
                  <c:v>Greenpeace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pPr>
              <a:ln w="19050">
                <a:solidFill>
                  <a:schemeClr val="accent3"/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Sheet1!$E$377:$M$377</c:f>
              <c:numCache>
                <c:formatCode>0</c:formatCode>
                <c:ptCount val="9"/>
                <c:pt idx="0">
                  <c:v>25.44467991231647</c:v>
                </c:pt>
                <c:pt idx="1">
                  <c:v>16.180472235727525</c:v>
                </c:pt>
                <c:pt idx="2">
                  <c:v>11.386333836828079</c:v>
                </c:pt>
                <c:pt idx="3">
                  <c:v>9.7822657740144923</c:v>
                </c:pt>
                <c:pt idx="4">
                  <c:v>8.4067609070678131</c:v>
                </c:pt>
                <c:pt idx="5">
                  <c:v>7.9895306984329615</c:v>
                </c:pt>
                <c:pt idx="6">
                  <c:v>7.5150144974676811</c:v>
                </c:pt>
                <c:pt idx="7">
                  <c:v>7.327805199654823</c:v>
                </c:pt>
                <c:pt idx="8">
                  <c:v>7.1755552892938805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Sheet1!$D$378</c:f>
              <c:strCache>
                <c:ptCount val="1"/>
                <c:pt idx="0">
                  <c:v>Cleantech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8"/>
            <c:spPr>
              <a:noFill/>
              <a:ln w="19050">
                <a:solidFill>
                  <a:schemeClr val="accent4"/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Sheet1!$E$378:$M$378</c:f>
              <c:numCache>
                <c:formatCode>General</c:formatCode>
                <c:ptCount val="9"/>
                <c:pt idx="8">
                  <c:v>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Sheet1!$D$379</c:f>
              <c:strCache>
                <c:ptCount val="1"/>
                <c:pt idx="0">
                  <c:v>PSI-elc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noFill/>
              <a:ln w="25400">
                <a:solidFill>
                  <a:schemeClr val="accent5"/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Sheet1!$E$379:$M$379</c:f>
              <c:numCache>
                <c:formatCode>0.0</c:formatCode>
                <c:ptCount val="9"/>
                <c:pt idx="0">
                  <c:v>29.5</c:v>
                </c:pt>
                <c:pt idx="4">
                  <c:v>13.3</c:v>
                </c:pt>
                <c:pt idx="8">
                  <c:v>10.029999999999999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Sheet1!$D$380</c:f>
              <c:strCache>
                <c:ptCount val="1"/>
                <c:pt idx="0">
                  <c:v>PSI-sys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plus"/>
            <c:size val="7"/>
            <c:spPr>
              <a:noFill/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Sheet1!$E$380:$M$380</c:f>
              <c:numCache>
                <c:formatCode>0.0</c:formatCode>
                <c:ptCount val="9"/>
                <c:pt idx="0">
                  <c:v>29.901687036945706</c:v>
                </c:pt>
                <c:pt idx="1">
                  <c:v>25.807115779566896</c:v>
                </c:pt>
                <c:pt idx="2">
                  <c:v>21.708054860721671</c:v>
                </c:pt>
                <c:pt idx="3">
                  <c:v>17.613483603342868</c:v>
                </c:pt>
                <c:pt idx="4">
                  <c:v>13.514422684497637</c:v>
                </c:pt>
                <c:pt idx="5">
                  <c:v>12.504248854552209</c:v>
                </c:pt>
                <c:pt idx="6">
                  <c:v>11.494075024606781</c:v>
                </c:pt>
                <c:pt idx="7">
                  <c:v>10.483901194661351</c:v>
                </c:pt>
                <c:pt idx="8">
                  <c:v>9.4737273647159235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Sheet1!$D$381</c:f>
              <c:strCache>
                <c:ptCount val="1"/>
                <c:pt idx="0">
                  <c:v>SCS, Dach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square"/>
            <c:size val="7"/>
            <c:spPr>
              <a:noFill/>
              <a:ln w="25400">
                <a:solidFill>
                  <a:srgbClr val="FFC000"/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Sheet1!$E$381:$M$381</c:f>
              <c:numCache>
                <c:formatCode>0.0</c:formatCode>
                <c:ptCount val="9"/>
                <c:pt idx="8">
                  <c:v>8.1159999999999997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Sheet1!$D$382</c:f>
              <c:strCache>
                <c:ptCount val="1"/>
                <c:pt idx="0">
                  <c:v>SCS, Berg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rgbClr val="FFC000"/>
                </a:solidFill>
              </a:ln>
            </c:spPr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Sheet1!$E$382:$M$382</c:f>
              <c:numCache>
                <c:formatCode>0.0</c:formatCode>
                <c:ptCount val="9"/>
                <c:pt idx="8">
                  <c:v>12.475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Sheet1!$D$383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Sheet1!$E$370:$M$370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Sheet1!$E$383:$M$383</c:f>
              <c:numCache>
                <c:formatCode>0</c:formatCode>
                <c:ptCount val="9"/>
                <c:pt idx="0">
                  <c:v>37.480795868657772</c:v>
                </c:pt>
                <c:pt idx="1">
                  <c:v>31.16459800254907</c:v>
                </c:pt>
                <c:pt idx="2">
                  <c:v>25.140731449591623</c:v>
                </c:pt>
                <c:pt idx="3">
                  <c:v>19.945302005503002</c:v>
                </c:pt>
                <c:pt idx="4">
                  <c:v>16.867168547210976</c:v>
                </c:pt>
                <c:pt idx="5">
                  <c:v>15.186722444123145</c:v>
                </c:pt>
                <c:pt idx="6">
                  <c:v>14.167802856925974</c:v>
                </c:pt>
                <c:pt idx="7">
                  <c:v>13.184796632622854</c:v>
                </c:pt>
                <c:pt idx="8">
                  <c:v>11.567928265400981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77664"/>
        <c:axId val="467485440"/>
      </c:lineChart>
      <c:catAx>
        <c:axId val="4665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7485440"/>
        <c:crosses val="autoZero"/>
        <c:auto val="1"/>
        <c:lblAlgn val="ctr"/>
        <c:lblOffset val="100"/>
        <c:noMultiLvlLbl val="0"/>
      </c:catAx>
      <c:valAx>
        <c:axId val="46748544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Rp./kWh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6657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23095455690325"/>
          <c:y val="0.10016600593139313"/>
          <c:w val="0.24431260977267133"/>
          <c:h val="0.776005261523284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76160985711517E-2"/>
          <c:y val="2.5967923271873784E-2"/>
          <c:w val="0.64779738076161231"/>
          <c:h val="0.91379160957312777"/>
        </c:manualLayout>
      </c:layout>
      <c:lineChart>
        <c:grouping val="standard"/>
        <c:varyColors val="0"/>
        <c:ser>
          <c:idx val="0"/>
          <c:order val="0"/>
          <c:tx>
            <c:strRef>
              <c:f>Sheet1!$D$539</c:f>
              <c:strCache>
                <c:ptCount val="1"/>
                <c:pt idx="0">
                  <c:v>VSE, Szen.1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Sheet1!$E$539:$M$539</c:f>
              <c:numCache>
                <c:formatCode>General</c:formatCode>
                <c:ptCount val="9"/>
                <c:pt idx="0">
                  <c:v>0.4</c:v>
                </c:pt>
                <c:pt idx="1">
                  <c:v>1.8800000000000001</c:v>
                </c:pt>
                <c:pt idx="2">
                  <c:v>3.3600000000000003</c:v>
                </c:pt>
                <c:pt idx="3">
                  <c:v>4.84</c:v>
                </c:pt>
                <c:pt idx="4">
                  <c:v>6.32</c:v>
                </c:pt>
                <c:pt idx="5">
                  <c:v>7.8</c:v>
                </c:pt>
                <c:pt idx="6" formatCode="0.0">
                  <c:v>7.2333333333333325</c:v>
                </c:pt>
                <c:pt idx="7" formatCode="0.0">
                  <c:v>6.6666666666666661</c:v>
                </c:pt>
                <c:pt idx="8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Sheet1!$D$540</c:f>
              <c:strCache>
                <c:ptCount val="1"/>
                <c:pt idx="0">
                  <c:v>VSE, Szen.2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noFill/>
                <a:prstDash val="dash"/>
              </a:ln>
            </c:spPr>
          </c:marker>
          <c:dPt>
            <c:idx val="1"/>
            <c:marker>
              <c:symbol val="triangle"/>
              <c:size val="5"/>
            </c:marker>
            <c:bubble3D val="0"/>
          </c:dPt>
          <c:dPt>
            <c:idx val="2"/>
            <c:marker>
              <c:symbol val="triangle"/>
              <c:size val="5"/>
            </c:marker>
            <c:bubble3D val="0"/>
          </c:dPt>
          <c:dPt>
            <c:idx val="3"/>
            <c:marker>
              <c:symbol val="triangle"/>
              <c:size val="5"/>
            </c:marker>
            <c:bubble3D val="0"/>
          </c:dPt>
          <c:dPt>
            <c:idx val="4"/>
            <c:marker>
              <c:symbol val="triangle"/>
              <c:size val="5"/>
            </c:marker>
            <c:bubble3D val="0"/>
          </c:dPt>
          <c:dPt>
            <c:idx val="7"/>
            <c:marker>
              <c:symbol val="triangle"/>
              <c:size val="5"/>
            </c:marker>
            <c:bubble3D val="0"/>
          </c:dPt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Sheet1!$E$540:$M$540</c:f>
              <c:numCache>
                <c:formatCode>General</c:formatCode>
                <c:ptCount val="9"/>
                <c:pt idx="0">
                  <c:v>0.4</c:v>
                </c:pt>
                <c:pt idx="1">
                  <c:v>1.3800000000000001</c:v>
                </c:pt>
                <c:pt idx="2">
                  <c:v>2.3600000000000003</c:v>
                </c:pt>
                <c:pt idx="3">
                  <c:v>3.34</c:v>
                </c:pt>
                <c:pt idx="4">
                  <c:v>4.32</c:v>
                </c:pt>
                <c:pt idx="5">
                  <c:v>5.3</c:v>
                </c:pt>
                <c:pt idx="6" formatCode="0.0">
                  <c:v>4.6999999999999993</c:v>
                </c:pt>
                <c:pt idx="7" formatCode="0.0">
                  <c:v>4.0999999999999996</c:v>
                </c:pt>
                <c:pt idx="8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Sheet1!$D$541</c:f>
              <c:strCache>
                <c:ptCount val="1"/>
                <c:pt idx="0">
                  <c:v>VSE, Szen.3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Sheet1!$E$541:$M$541</c:f>
              <c:numCache>
                <c:formatCode>General</c:formatCode>
                <c:ptCount val="9"/>
                <c:pt idx="0">
                  <c:v>0.4</c:v>
                </c:pt>
                <c:pt idx="1">
                  <c:v>0.66000000000000014</c:v>
                </c:pt>
                <c:pt idx="2">
                  <c:v>0.92</c:v>
                </c:pt>
                <c:pt idx="3">
                  <c:v>1.1800000000000002</c:v>
                </c:pt>
                <c:pt idx="4">
                  <c:v>1.4400000000000002</c:v>
                </c:pt>
                <c:pt idx="5">
                  <c:v>1.7</c:v>
                </c:pt>
                <c:pt idx="6" formatCode="0.0">
                  <c:v>1.5999999999999999</c:v>
                </c:pt>
                <c:pt idx="7" formatCode="0.0">
                  <c:v>1.5</c:v>
                </c:pt>
                <c:pt idx="8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Sheet1!$D$542</c:f>
              <c:strCache>
                <c:ptCount val="1"/>
                <c:pt idx="0">
                  <c:v>BFE, WWB+C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Sheet1!$E$542:$M$542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1.4</c:v>
                </c:pt>
                <c:pt idx="3">
                  <c:v>2.7</c:v>
                </c:pt>
                <c:pt idx="4">
                  <c:v>4.5</c:v>
                </c:pt>
                <c:pt idx="5">
                  <c:v>8.9</c:v>
                </c:pt>
                <c:pt idx="6">
                  <c:v>8.9</c:v>
                </c:pt>
                <c:pt idx="7">
                  <c:v>9.1999999999999993</c:v>
                </c:pt>
                <c:pt idx="8">
                  <c:v>9.1999999999999993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Sheet1!$D$543</c:f>
              <c:strCache>
                <c:ptCount val="1"/>
                <c:pt idx="0">
                  <c:v>BFE, WWB+C+E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Sheet1!$E$543:$M$543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1.1000000000000001</c:v>
                </c:pt>
                <c:pt idx="3">
                  <c:v>2.1</c:v>
                </c:pt>
                <c:pt idx="4">
                  <c:v>3</c:v>
                </c:pt>
                <c:pt idx="5">
                  <c:v>6.6</c:v>
                </c:pt>
                <c:pt idx="6">
                  <c:v>5.5</c:v>
                </c:pt>
                <c:pt idx="7">
                  <c:v>4.7</c:v>
                </c:pt>
                <c:pt idx="8">
                  <c:v>4.4000000000000004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Sheet1!$D$547</c:f>
              <c:strCache>
                <c:ptCount val="1"/>
                <c:pt idx="0">
                  <c:v>BFE, POM+C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Sheet1!$E$547:$M$547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0.9</c:v>
                </c:pt>
                <c:pt idx="3">
                  <c:v>1.8</c:v>
                </c:pt>
                <c:pt idx="4">
                  <c:v>2.8</c:v>
                </c:pt>
                <c:pt idx="5">
                  <c:v>6.7</c:v>
                </c:pt>
                <c:pt idx="6">
                  <c:v>6.4</c:v>
                </c:pt>
                <c:pt idx="7">
                  <c:v>6.6</c:v>
                </c:pt>
                <c:pt idx="8">
                  <c:v>6.4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Sheet1!$D$548</c:f>
              <c:strCache>
                <c:ptCount val="1"/>
                <c:pt idx="0">
                  <c:v>BFE, POM+C+E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Sheet1!$E$548:$M$548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1.2</c:v>
                </c:pt>
                <c:pt idx="4">
                  <c:v>1.9</c:v>
                </c:pt>
                <c:pt idx="5">
                  <c:v>4.3</c:v>
                </c:pt>
                <c:pt idx="6">
                  <c:v>3.5</c:v>
                </c:pt>
                <c:pt idx="7">
                  <c:v>3.2</c:v>
                </c:pt>
                <c:pt idx="8">
                  <c:v>2.8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Sheet1!$D$549</c:f>
              <c:strCache>
                <c:ptCount val="1"/>
                <c:pt idx="0">
                  <c:v>BFE, POM+E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circle"/>
            <c:size val="6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Sheet1!$E$549:$M$549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Sheet1!$D$544</c:f>
              <c:strCache>
                <c:ptCount val="1"/>
                <c:pt idx="0">
                  <c:v>BFE, NEP+C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Sheet1!$E$544:$M$544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0.8</c:v>
                </c:pt>
                <c:pt idx="3">
                  <c:v>1.6</c:v>
                </c:pt>
                <c:pt idx="4">
                  <c:v>2.4</c:v>
                </c:pt>
                <c:pt idx="5">
                  <c:v>5.7</c:v>
                </c:pt>
                <c:pt idx="6">
                  <c:v>4.9000000000000004</c:v>
                </c:pt>
                <c:pt idx="7">
                  <c:v>4.5</c:v>
                </c:pt>
                <c:pt idx="8">
                  <c:v>3.8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Sheet1!$D$545</c:f>
              <c:strCache>
                <c:ptCount val="1"/>
                <c:pt idx="0">
                  <c:v>BFE, NEP+C+E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triangle"/>
            <c:size val="6"/>
            <c:spPr>
              <a:solidFill>
                <a:srgbClr val="00B050"/>
              </a:solidFill>
              <a:ln w="19050">
                <a:noFill/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Sheet1!$E$545:$M$545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1.1000000000000001</c:v>
                </c:pt>
                <c:pt idx="4">
                  <c:v>1.6</c:v>
                </c:pt>
                <c:pt idx="5">
                  <c:v>3.5</c:v>
                </c:pt>
                <c:pt idx="6">
                  <c:v>2.7</c:v>
                </c:pt>
                <c:pt idx="7">
                  <c:v>2</c:v>
                </c:pt>
                <c:pt idx="8">
                  <c:v>1.3</c:v>
                </c:pt>
              </c:numCache>
            </c:numRef>
          </c:val>
          <c:smooth val="0"/>
        </c:ser>
        <c:ser>
          <c:idx val="7"/>
          <c:order val="10"/>
          <c:tx>
            <c:strRef>
              <c:f>Sheet1!$D$546</c:f>
              <c:strCache>
                <c:ptCount val="1"/>
                <c:pt idx="0">
                  <c:v>BFE, NEP+E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circle"/>
            <c:size val="10"/>
            <c:spPr>
              <a:noFill/>
              <a:ln w="19050">
                <a:solidFill>
                  <a:srgbClr val="00B05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Sheet1!$E$546:$M$546</c:f>
              <c:numCache>
                <c:formatCode>General</c:formatCode>
                <c:ptCount val="9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Sheet1!$D$550</c:f>
              <c:strCache>
                <c:ptCount val="1"/>
                <c:pt idx="0">
                  <c:v>Greenpeace</c:v>
                </c:pt>
              </c:strCache>
            </c:strRef>
          </c:tx>
          <c:spPr>
            <a:ln w="25400" cmpd="sng">
              <a:solidFill>
                <a:schemeClr val="accent3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Sheet1!$E$550:$M$550</c:f>
              <c:numCache>
                <c:formatCode>General</c:formatCode>
                <c:ptCount val="9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2.5000000000000001E-2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Sheet1!$D$551</c:f>
              <c:strCache>
                <c:ptCount val="1"/>
                <c:pt idx="0">
                  <c:v>PSI-elc, WWB+Gas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7030A0"/>
              </a:solidFill>
              <a:ln w="15875">
                <a:solidFill>
                  <a:srgbClr val="7030A0"/>
                </a:solidFill>
                <a:prstDash val="solid"/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Sheet1!$E$551:$M$551</c:f>
              <c:numCache>
                <c:formatCode>0.0</c:formatCode>
                <c:ptCount val="9"/>
                <c:pt idx="0">
                  <c:v>0.96291616173665617</c:v>
                </c:pt>
                <c:pt idx="1">
                  <c:v>0.74267643060256827</c:v>
                </c:pt>
                <c:pt idx="2">
                  <c:v>1.7623823511533081</c:v>
                </c:pt>
                <c:pt idx="3">
                  <c:v>3.9843742838747307</c:v>
                </c:pt>
                <c:pt idx="5">
                  <c:v>5.9083553782013025</c:v>
                </c:pt>
                <c:pt idx="8">
                  <c:v>7.6835132262578103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Sheet1!$D$552</c:f>
              <c:strCache>
                <c:ptCount val="1"/>
                <c:pt idx="0">
                  <c:v>PSI-elc, WWB+Import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Sheet1!$E$552:$M$552</c:f>
              <c:numCache>
                <c:formatCode>0.0</c:formatCode>
                <c:ptCount val="9"/>
                <c:pt idx="0">
                  <c:v>0.96291616173665617</c:v>
                </c:pt>
                <c:pt idx="1">
                  <c:v>0.67290821301825854</c:v>
                </c:pt>
                <c:pt idx="2">
                  <c:v>0.49395035410756299</c:v>
                </c:pt>
                <c:pt idx="3">
                  <c:v>0.33664226700508165</c:v>
                </c:pt>
                <c:pt idx="5">
                  <c:v>3.2935345741466115E-2</c:v>
                </c:pt>
                <c:pt idx="8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Sheet1!$D$553</c:f>
              <c:strCache>
                <c:ptCount val="1"/>
                <c:pt idx="0">
                  <c:v>PSI-elc, WWB+Nuclear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x"/>
            <c:size val="9"/>
            <c:spPr>
              <a:noFill/>
              <a:ln w="25400">
                <a:solidFill>
                  <a:srgbClr val="7030A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Sheet1!$E$553:$M$553</c:f>
              <c:numCache>
                <c:formatCode>0.0</c:formatCode>
                <c:ptCount val="9"/>
                <c:pt idx="0">
                  <c:v>0.96291616173665617</c:v>
                </c:pt>
                <c:pt idx="1">
                  <c:v>0.74546168433599402</c:v>
                </c:pt>
                <c:pt idx="2">
                  <c:v>1.9858681044398021</c:v>
                </c:pt>
                <c:pt idx="3">
                  <c:v>4.0038118123437734</c:v>
                </c:pt>
                <c:pt idx="5">
                  <c:v>0</c:v>
                </c:pt>
                <c:pt idx="8">
                  <c:v>1.78340864148213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Sheet1!$D$557</c:f>
              <c:strCache>
                <c:ptCount val="1"/>
                <c:pt idx="0">
                  <c:v>PSI-elc, POM+Gas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Sheet1!$E$557:$M$557</c:f>
              <c:numCache>
                <c:formatCode>0.0</c:formatCode>
                <c:ptCount val="9"/>
                <c:pt idx="0">
                  <c:v>0.96291616173665617</c:v>
                </c:pt>
                <c:pt idx="1">
                  <c:v>0</c:v>
                </c:pt>
                <c:pt idx="2">
                  <c:v>0.75065142393065798</c:v>
                </c:pt>
                <c:pt idx="3">
                  <c:v>2.2464465303811894</c:v>
                </c:pt>
                <c:pt idx="5">
                  <c:v>4.1335575502373603</c:v>
                </c:pt>
                <c:pt idx="8">
                  <c:v>5.9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Sheet1!$D$558</c:f>
              <c:strCache>
                <c:ptCount val="1"/>
                <c:pt idx="0">
                  <c:v>PSI-elc, POM+Import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circle"/>
            <c:size val="14"/>
            <c:spPr>
              <a:noFill/>
              <a:ln w="25400">
                <a:solidFill>
                  <a:srgbClr val="00B0F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Sheet1!$E$558:$M$558</c:f>
              <c:numCache>
                <c:formatCode>0.0</c:formatCode>
                <c:ptCount val="9"/>
                <c:pt idx="0">
                  <c:v>0.96291616173665617</c:v>
                </c:pt>
                <c:pt idx="1">
                  <c:v>0.65860047214341799</c:v>
                </c:pt>
                <c:pt idx="2">
                  <c:v>0.49395035410756299</c:v>
                </c:pt>
                <c:pt idx="3">
                  <c:v>0.329300236071709</c:v>
                </c:pt>
                <c:pt idx="5">
                  <c:v>3.3180163919050376E-2</c:v>
                </c:pt>
                <c:pt idx="8">
                  <c:v>0</c:v>
                </c:pt>
              </c:numCache>
            </c:numRef>
          </c:val>
          <c:smooth val="0"/>
        </c:ser>
        <c:ser>
          <c:idx val="20"/>
          <c:order val="17"/>
          <c:tx>
            <c:strRef>
              <c:f>Sheet1!$D$559</c:f>
              <c:strCache>
                <c:ptCount val="1"/>
                <c:pt idx="0">
                  <c:v>PSI-elc, POM+Nuclear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x"/>
            <c:size val="8"/>
            <c:spPr>
              <a:noFill/>
              <a:ln w="25400">
                <a:solidFill>
                  <a:srgbClr val="00B0F0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Sheet1!$E$559:$M$559</c:f>
              <c:numCache>
                <c:formatCode>0.0</c:formatCode>
                <c:ptCount val="9"/>
                <c:pt idx="0">
                  <c:v>0.96291616173665617</c:v>
                </c:pt>
                <c:pt idx="1">
                  <c:v>0</c:v>
                </c:pt>
                <c:pt idx="2">
                  <c:v>0.75782414535353504</c:v>
                </c:pt>
                <c:pt idx="3">
                  <c:v>2.2770303700770489</c:v>
                </c:pt>
                <c:pt idx="5">
                  <c:v>0</c:v>
                </c:pt>
                <c:pt idx="8">
                  <c:v>9.5208697347297699E-2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Sheet1!$D$554</c:f>
              <c:strCache>
                <c:ptCount val="1"/>
                <c:pt idx="0">
                  <c:v>PSI-elc, NEP+Gas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Sheet1!$E$554:$M$554</c:f>
              <c:numCache>
                <c:formatCode>0.0</c:formatCode>
                <c:ptCount val="9"/>
                <c:pt idx="0">
                  <c:v>0.96291616173665617</c:v>
                </c:pt>
                <c:pt idx="1">
                  <c:v>0</c:v>
                </c:pt>
                <c:pt idx="2">
                  <c:v>0.62338550020540595</c:v>
                </c:pt>
                <c:pt idx="3">
                  <c:v>1.7177106708543191</c:v>
                </c:pt>
                <c:pt idx="5">
                  <c:v>3.0134985310195499</c:v>
                </c:pt>
                <c:pt idx="8">
                  <c:v>0.63880767123287607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Sheet1!$D$555</c:f>
              <c:strCache>
                <c:ptCount val="1"/>
                <c:pt idx="0">
                  <c:v>PSI-elc, NEP+Import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circle"/>
            <c:size val="12"/>
            <c:spPr>
              <a:noFill/>
              <a:ln w="25400">
                <a:solidFill>
                  <a:schemeClr val="accent1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Sheet1!$E$555:$M$555</c:f>
              <c:numCache>
                <c:formatCode>0.0</c:formatCode>
                <c:ptCount val="9"/>
                <c:pt idx="0">
                  <c:v>0.96291616173665617</c:v>
                </c:pt>
                <c:pt idx="1">
                  <c:v>0.65860047214341799</c:v>
                </c:pt>
                <c:pt idx="2">
                  <c:v>0.49395035410756299</c:v>
                </c:pt>
                <c:pt idx="3">
                  <c:v>0.25477573044191998</c:v>
                </c:pt>
                <c:pt idx="5">
                  <c:v>2.48622045616863E-2</c:v>
                </c:pt>
                <c:pt idx="8">
                  <c:v>0</c:v>
                </c:pt>
              </c:numCache>
            </c:numRef>
          </c:val>
          <c:smooth val="0"/>
        </c:ser>
        <c:ser>
          <c:idx val="17"/>
          <c:order val="20"/>
          <c:tx>
            <c:strRef>
              <c:f>Sheet1!$D$556</c:f>
              <c:strCache>
                <c:ptCount val="1"/>
                <c:pt idx="0">
                  <c:v>PSI-elc, NEP+Nuclear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x"/>
            <c:size val="10"/>
            <c:spPr>
              <a:noFill/>
              <a:ln w="19050">
                <a:solidFill>
                  <a:schemeClr val="accent1"/>
                </a:solidFill>
              </a:ln>
            </c:spPr>
          </c:marker>
          <c:cat>
            <c:numRef>
              <c:f>Sheet1!$E$538:$M$538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Sheet1!$E$556:$M$556</c:f>
              <c:numCache>
                <c:formatCode>0.0</c:formatCode>
                <c:ptCount val="9"/>
                <c:pt idx="0">
                  <c:v>0.96291616173665617</c:v>
                </c:pt>
                <c:pt idx="1">
                  <c:v>0</c:v>
                </c:pt>
                <c:pt idx="2">
                  <c:v>0.62338550020540495</c:v>
                </c:pt>
                <c:pt idx="3">
                  <c:v>1.7177106708543191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85376"/>
        <c:axId val="468087936"/>
      </c:lineChart>
      <c:catAx>
        <c:axId val="4680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68087936"/>
        <c:crosses val="autoZero"/>
        <c:auto val="1"/>
        <c:lblAlgn val="ctr"/>
        <c:lblOffset val="100"/>
        <c:noMultiLvlLbl val="0"/>
      </c:catAx>
      <c:valAx>
        <c:axId val="46808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CH" sz="1400"/>
                  <a:t>Mio. tons CO2/year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6808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76239395471519"/>
          <c:y val="1.5836299588525928E-2"/>
          <c:w val="0.27944073577917611"/>
          <c:h val="0.9572116481246085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371474</xdr:colOff>
      <xdr:row>1303</xdr:row>
      <xdr:rowOff>85726</xdr:rowOff>
    </xdr:from>
    <xdr:to>
      <xdr:col>16</xdr:col>
      <xdr:colOff>113624</xdr:colOff>
      <xdr:row>1325</xdr:row>
      <xdr:rowOff>26176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380999</xdr:colOff>
      <xdr:row>1325</xdr:row>
      <xdr:rowOff>171450</xdr:rowOff>
    </xdr:from>
    <xdr:to>
      <xdr:col>16</xdr:col>
      <xdr:colOff>123149</xdr:colOff>
      <xdr:row>1347</xdr:row>
      <xdr:rowOff>121425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266700</xdr:colOff>
      <xdr:row>1024</xdr:row>
      <xdr:rowOff>85725</xdr:rowOff>
    </xdr:from>
    <xdr:to>
      <xdr:col>26</xdr:col>
      <xdr:colOff>161925</xdr:colOff>
      <xdr:row>1039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685800</xdr:colOff>
      <xdr:row>683</xdr:row>
      <xdr:rowOff>133350</xdr:rowOff>
    </xdr:from>
    <xdr:to>
      <xdr:col>20</xdr:col>
      <xdr:colOff>428625</xdr:colOff>
      <xdr:row>698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1666875</xdr:colOff>
      <xdr:row>32</xdr:row>
      <xdr:rowOff>76200</xdr:rowOff>
    </xdr:from>
    <xdr:to>
      <xdr:col>7</xdr:col>
      <xdr:colOff>285750</xdr:colOff>
      <xdr:row>48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314324</xdr:colOff>
      <xdr:row>316</xdr:row>
      <xdr:rowOff>133350</xdr:rowOff>
    </xdr:from>
    <xdr:to>
      <xdr:col>18</xdr:col>
      <xdr:colOff>561975</xdr:colOff>
      <xdr:row>332</xdr:row>
      <xdr:rowOff>95250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314323</xdr:colOff>
      <xdr:row>332</xdr:row>
      <xdr:rowOff>180973</xdr:rowOff>
    </xdr:from>
    <xdr:to>
      <xdr:col>21</xdr:col>
      <xdr:colOff>333374</xdr:colOff>
      <xdr:row>365</xdr:row>
      <xdr:rowOff>28575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390524</xdr:colOff>
      <xdr:row>367</xdr:row>
      <xdr:rowOff>152399</xdr:rowOff>
    </xdr:from>
    <xdr:to>
      <xdr:col>20</xdr:col>
      <xdr:colOff>19050</xdr:colOff>
      <xdr:row>390</xdr:row>
      <xdr:rowOff>76199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247648</xdr:colOff>
      <xdr:row>530</xdr:row>
      <xdr:rowOff>19050</xdr:rowOff>
    </xdr:from>
    <xdr:to>
      <xdr:col>21</xdr:col>
      <xdr:colOff>876300</xdr:colOff>
      <xdr:row>561</xdr:row>
      <xdr:rowOff>104774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571498</xdr:colOff>
      <xdr:row>275</xdr:row>
      <xdr:rowOff>19050</xdr:rowOff>
    </xdr:from>
    <xdr:to>
      <xdr:col>21</xdr:col>
      <xdr:colOff>504825</xdr:colOff>
      <xdr:row>305</xdr:row>
      <xdr:rowOff>85728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752475</xdr:colOff>
      <xdr:row>32</xdr:row>
      <xdr:rowOff>142875</xdr:rowOff>
    </xdr:from>
    <xdr:to>
      <xdr:col>12</xdr:col>
      <xdr:colOff>809625</xdr:colOff>
      <xdr:row>47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676274</xdr:colOff>
      <xdr:row>229</xdr:row>
      <xdr:rowOff>85725</xdr:rowOff>
    </xdr:from>
    <xdr:to>
      <xdr:col>45</xdr:col>
      <xdr:colOff>333375</xdr:colOff>
      <xdr:row>249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457199</xdr:colOff>
      <xdr:row>393</xdr:row>
      <xdr:rowOff>47625</xdr:rowOff>
    </xdr:from>
    <xdr:to>
      <xdr:col>20</xdr:col>
      <xdr:colOff>85725</xdr:colOff>
      <xdr:row>414</xdr:row>
      <xdr:rowOff>161926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485774</xdr:colOff>
      <xdr:row>416</xdr:row>
      <xdr:rowOff>114300</xdr:rowOff>
    </xdr:from>
    <xdr:to>
      <xdr:col>19</xdr:col>
      <xdr:colOff>638175</xdr:colOff>
      <xdr:row>438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800101</xdr:colOff>
      <xdr:row>439</xdr:row>
      <xdr:rowOff>152400</xdr:rowOff>
    </xdr:from>
    <xdr:to>
      <xdr:col>18</xdr:col>
      <xdr:colOff>619126</xdr:colOff>
      <xdr:row>460</xdr:row>
      <xdr:rowOff>57151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695325</xdr:colOff>
      <xdr:row>1283</xdr:row>
      <xdr:rowOff>28575</xdr:rowOff>
    </xdr:from>
    <xdr:to>
      <xdr:col>15</xdr:col>
      <xdr:colOff>895350</xdr:colOff>
      <xdr:row>1302</xdr:row>
      <xdr:rowOff>66675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161925</xdr:colOff>
      <xdr:row>1282</xdr:row>
      <xdr:rowOff>171450</xdr:rowOff>
    </xdr:from>
    <xdr:to>
      <xdr:col>20</xdr:col>
      <xdr:colOff>790575</xdr:colOff>
      <xdr:row>1302</xdr:row>
      <xdr:rowOff>28575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0</xdr:colOff>
      <xdr:row>1280</xdr:row>
      <xdr:rowOff>28576</xdr:rowOff>
    </xdr:from>
    <xdr:to>
      <xdr:col>26</xdr:col>
      <xdr:colOff>428625</xdr:colOff>
      <xdr:row>1302</xdr:row>
      <xdr:rowOff>38101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857250</xdr:colOff>
      <xdr:row>461</xdr:row>
      <xdr:rowOff>109537</xdr:rowOff>
    </xdr:from>
    <xdr:to>
      <xdr:col>18</xdr:col>
      <xdr:colOff>381000</xdr:colOff>
      <xdr:row>477</xdr:row>
      <xdr:rowOff>9525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-1</xdr:colOff>
      <xdr:row>111</xdr:row>
      <xdr:rowOff>114300</xdr:rowOff>
    </xdr:from>
    <xdr:to>
      <xdr:col>44</xdr:col>
      <xdr:colOff>485775</xdr:colOff>
      <xdr:row>132</xdr:row>
      <xdr:rowOff>28574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34</xdr:col>
      <xdr:colOff>0</xdr:colOff>
      <xdr:row>136</xdr:row>
      <xdr:rowOff>57150</xdr:rowOff>
    </xdr:from>
    <xdr:to>
      <xdr:col>44</xdr:col>
      <xdr:colOff>485776</xdr:colOff>
      <xdr:row>156</xdr:row>
      <xdr:rowOff>161924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34</xdr:col>
      <xdr:colOff>95250</xdr:colOff>
      <xdr:row>158</xdr:row>
      <xdr:rowOff>142875</xdr:rowOff>
    </xdr:from>
    <xdr:to>
      <xdr:col>44</xdr:col>
      <xdr:colOff>600076</xdr:colOff>
      <xdr:row>179</xdr:row>
      <xdr:rowOff>57149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34</xdr:col>
      <xdr:colOff>180975</xdr:colOff>
      <xdr:row>182</xdr:row>
      <xdr:rowOff>95250</xdr:rowOff>
    </xdr:from>
    <xdr:to>
      <xdr:col>45</xdr:col>
      <xdr:colOff>1</xdr:colOff>
      <xdr:row>203</xdr:row>
      <xdr:rowOff>9524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34</xdr:col>
      <xdr:colOff>57150</xdr:colOff>
      <xdr:row>206</xdr:row>
      <xdr:rowOff>19050</xdr:rowOff>
    </xdr:from>
    <xdr:to>
      <xdr:col>44</xdr:col>
      <xdr:colOff>561976</xdr:colOff>
      <xdr:row>226</xdr:row>
      <xdr:rowOff>123824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33</xdr:col>
      <xdr:colOff>352425</xdr:colOff>
      <xdr:row>505</xdr:row>
      <xdr:rowOff>123825</xdr:rowOff>
    </xdr:from>
    <xdr:to>
      <xdr:col>43</xdr:col>
      <xdr:colOff>457200</xdr:colOff>
      <xdr:row>525</xdr:row>
      <xdr:rowOff>161924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237067</xdr:colOff>
      <xdr:row>84</xdr:row>
      <xdr:rowOff>68792</xdr:rowOff>
    </xdr:from>
    <xdr:to>
      <xdr:col>19</xdr:col>
      <xdr:colOff>814917</xdr:colOff>
      <xdr:row>109</xdr:row>
      <xdr:rowOff>175686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BW3145"/>
  <sheetViews>
    <sheetView tabSelected="1" topLeftCell="AE112" zoomScale="85" zoomScaleNormal="85" workbookViewId="0"/>
  </sheetViews>
  <sheetFormatPr defaultRowHeight="14.25" x14ac:dyDescent="0.2"/>
  <cols>
    <col min="1" max="1" width="5.25" customWidth="1"/>
    <col min="2" max="2" width="9.25" customWidth="1"/>
    <col min="3" max="3" width="22.875" customWidth="1"/>
    <col min="4" max="7" width="12.375" bestFit="1" customWidth="1"/>
    <col min="8" max="9" width="12.625" bestFit="1" customWidth="1"/>
    <col min="10" max="21" width="12.375" bestFit="1" customWidth="1"/>
    <col min="22" max="22" width="12.375" customWidth="1"/>
    <col min="23" max="26" width="12.375" bestFit="1" customWidth="1"/>
    <col min="52" max="52" width="10.125" customWidth="1"/>
  </cols>
  <sheetData>
    <row r="3" spans="1:48" ht="27" x14ac:dyDescent="0.35">
      <c r="A3" s="3" t="s">
        <v>130</v>
      </c>
    </row>
    <row r="6" spans="1:48" ht="15" x14ac:dyDescent="0.25">
      <c r="B6" s="2" t="s">
        <v>535</v>
      </c>
    </row>
    <row r="7" spans="1:48" ht="15" x14ac:dyDescent="0.25">
      <c r="B7" s="13" t="s">
        <v>534</v>
      </c>
      <c r="D7" s="2">
        <v>1950</v>
      </c>
      <c r="E7" s="2">
        <v>1960</v>
      </c>
      <c r="F7" s="2">
        <v>1970</v>
      </c>
      <c r="G7" s="2">
        <v>1980</v>
      </c>
      <c r="H7" s="2">
        <v>1990</v>
      </c>
      <c r="I7" s="2">
        <v>1995</v>
      </c>
      <c r="J7" s="2">
        <v>1996</v>
      </c>
      <c r="K7" s="2">
        <v>1997</v>
      </c>
      <c r="L7" s="2">
        <v>1998</v>
      </c>
      <c r="M7" s="2">
        <v>1999</v>
      </c>
      <c r="N7" s="2">
        <v>2000</v>
      </c>
      <c r="O7" s="2">
        <v>2001</v>
      </c>
      <c r="P7" s="2">
        <v>2002</v>
      </c>
      <c r="Q7" s="2">
        <v>2003</v>
      </c>
      <c r="R7" s="2">
        <v>2004</v>
      </c>
      <c r="S7" s="2">
        <v>2005</v>
      </c>
      <c r="T7" s="2">
        <v>2006</v>
      </c>
      <c r="U7" s="2">
        <v>2007</v>
      </c>
      <c r="V7" s="2">
        <v>2008</v>
      </c>
      <c r="W7" s="2">
        <v>2009</v>
      </c>
      <c r="X7" s="2">
        <v>2010</v>
      </c>
      <c r="Y7" s="2">
        <v>2011</v>
      </c>
      <c r="Z7" s="2">
        <v>2012</v>
      </c>
    </row>
    <row r="8" spans="1:48" x14ac:dyDescent="0.2">
      <c r="D8" s="6">
        <v>4717</v>
      </c>
      <c r="E8" s="6">
        <v>5360</v>
      </c>
      <c r="F8" s="6">
        <v>6193</v>
      </c>
      <c r="G8" s="6">
        <v>6335</v>
      </c>
      <c r="H8" s="6">
        <v>6751</v>
      </c>
      <c r="I8" s="6">
        <v>7062</v>
      </c>
      <c r="J8" s="6">
        <v>7081</v>
      </c>
      <c r="K8" s="6">
        <v>7096</v>
      </c>
      <c r="L8" s="6">
        <v>7123.5370000000003</v>
      </c>
      <c r="M8" s="6">
        <v>7164</v>
      </c>
      <c r="N8" s="6">
        <v>7204</v>
      </c>
      <c r="O8" s="6">
        <v>7256</v>
      </c>
      <c r="P8" s="6">
        <v>7314</v>
      </c>
      <c r="Q8" s="6">
        <v>7364</v>
      </c>
      <c r="R8" s="6">
        <v>7415.1019999999999</v>
      </c>
      <c r="S8" s="6">
        <v>7459.1279999999997</v>
      </c>
      <c r="T8" s="6">
        <v>7508.7389999999996</v>
      </c>
      <c r="U8" s="6">
        <v>7593.4939999999997</v>
      </c>
      <c r="V8" s="6">
        <v>7701.8559999999998</v>
      </c>
      <c r="W8" s="6">
        <v>7785.8059999999996</v>
      </c>
      <c r="X8" s="6">
        <v>7870</v>
      </c>
      <c r="Y8" s="6">
        <v>7954.6620000000003</v>
      </c>
      <c r="Z8" s="6">
        <v>8039.06</v>
      </c>
    </row>
    <row r="9" spans="1:48" x14ac:dyDescent="0.2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8" ht="15" x14ac:dyDescent="0.25">
      <c r="B10" s="2" t="s">
        <v>536</v>
      </c>
    </row>
    <row r="11" spans="1:48" ht="15" x14ac:dyDescent="0.25">
      <c r="B11" s="13" t="s">
        <v>534</v>
      </c>
      <c r="D11" s="2">
        <f>D7</f>
        <v>1950</v>
      </c>
      <c r="E11" s="2">
        <f t="shared" ref="E11:G11" si="0">E7</f>
        <v>1960</v>
      </c>
      <c r="F11" s="2">
        <f t="shared" si="0"/>
        <v>1970</v>
      </c>
      <c r="G11" s="2">
        <f t="shared" si="0"/>
        <v>1980</v>
      </c>
      <c r="H11" s="2">
        <v>1990</v>
      </c>
      <c r="I11" s="2">
        <v>1995</v>
      </c>
      <c r="J11" s="2">
        <v>1996</v>
      </c>
      <c r="K11" s="2">
        <v>1997</v>
      </c>
      <c r="L11" s="2">
        <v>1998</v>
      </c>
      <c r="M11" s="2">
        <v>1999</v>
      </c>
      <c r="N11" s="2">
        <v>2000</v>
      </c>
      <c r="O11" s="2">
        <v>2001</v>
      </c>
      <c r="P11" s="2">
        <v>2002</v>
      </c>
      <c r="Q11" s="2">
        <v>2003</v>
      </c>
      <c r="R11" s="2">
        <v>2004</v>
      </c>
      <c r="S11" s="2">
        <v>2005</v>
      </c>
      <c r="T11" s="2">
        <v>2006</v>
      </c>
      <c r="U11" s="2">
        <v>2007</v>
      </c>
      <c r="V11" s="2">
        <v>2008</v>
      </c>
      <c r="W11" s="2">
        <v>2009</v>
      </c>
      <c r="X11" s="2">
        <v>2010</v>
      </c>
      <c r="Y11" s="2">
        <v>2011</v>
      </c>
      <c r="Z11" s="2">
        <v>2012</v>
      </c>
      <c r="AA11" s="2">
        <v>2015</v>
      </c>
      <c r="AB11" s="2">
        <v>2020</v>
      </c>
      <c r="AC11" s="2">
        <v>2025</v>
      </c>
      <c r="AD11" s="2">
        <v>2030</v>
      </c>
      <c r="AE11" s="2">
        <v>2035</v>
      </c>
      <c r="AF11" s="2">
        <v>2040</v>
      </c>
      <c r="AG11" s="2">
        <v>2045</v>
      </c>
      <c r="AH11" s="2">
        <v>2050</v>
      </c>
      <c r="AJ11" s="2">
        <v>2055</v>
      </c>
      <c r="AK11" s="2">
        <v>2060</v>
      </c>
      <c r="AT11">
        <v>1953</v>
      </c>
      <c r="AV11">
        <v>128577.6365976402</v>
      </c>
    </row>
    <row r="12" spans="1:48" x14ac:dyDescent="0.2">
      <c r="B12" t="s">
        <v>531</v>
      </c>
      <c r="D12" s="70">
        <f t="shared" ref="D12:G12" si="1">D8</f>
        <v>4717</v>
      </c>
      <c r="E12" s="70">
        <f t="shared" si="1"/>
        <v>5360</v>
      </c>
      <c r="F12" s="70">
        <f t="shared" si="1"/>
        <v>6193</v>
      </c>
      <c r="G12" s="70">
        <f t="shared" si="1"/>
        <v>6335</v>
      </c>
      <c r="H12" s="70">
        <f>H8</f>
        <v>6751</v>
      </c>
      <c r="I12" s="70">
        <f>I8</f>
        <v>7062</v>
      </c>
      <c r="J12" s="70">
        <f t="shared" ref="J12:M12" si="2">J8</f>
        <v>7081</v>
      </c>
      <c r="K12" s="70">
        <f t="shared" si="2"/>
        <v>7096</v>
      </c>
      <c r="L12" s="70">
        <f t="shared" si="2"/>
        <v>7123.5370000000003</v>
      </c>
      <c r="M12" s="70">
        <f t="shared" si="2"/>
        <v>7164</v>
      </c>
      <c r="N12" s="70">
        <f t="shared" ref="N12:W12" si="3">N8</f>
        <v>7204</v>
      </c>
      <c r="O12" s="70">
        <f t="shared" si="3"/>
        <v>7256</v>
      </c>
      <c r="P12" s="70">
        <f t="shared" si="3"/>
        <v>7314</v>
      </c>
      <c r="Q12" s="70">
        <f t="shared" si="3"/>
        <v>7364</v>
      </c>
      <c r="R12" s="70">
        <f t="shared" si="3"/>
        <v>7415.1019999999999</v>
      </c>
      <c r="S12" s="70">
        <f t="shared" si="3"/>
        <v>7459.1279999999997</v>
      </c>
      <c r="T12" s="70">
        <f t="shared" si="3"/>
        <v>7508.7389999999996</v>
      </c>
      <c r="U12" s="70">
        <f t="shared" si="3"/>
        <v>7593.4939999999997</v>
      </c>
      <c r="V12" s="70">
        <f t="shared" si="3"/>
        <v>7701.8559999999998</v>
      </c>
      <c r="W12" s="70">
        <f t="shared" si="3"/>
        <v>7785.8059999999996</v>
      </c>
      <c r="X12" s="6">
        <v>7856.6</v>
      </c>
      <c r="Y12" s="70">
        <f t="shared" ref="Y12:Z12" si="4">Y8</f>
        <v>7954.6620000000003</v>
      </c>
      <c r="Z12" s="70">
        <f t="shared" si="4"/>
        <v>8039.06</v>
      </c>
      <c r="AA12" s="6">
        <v>8155.1</v>
      </c>
      <c r="AB12" s="6">
        <v>8401.9</v>
      </c>
      <c r="AC12" s="6">
        <v>8595.9</v>
      </c>
      <c r="AD12" s="6">
        <v>8738.5</v>
      </c>
      <c r="AE12" s="6">
        <v>8837.7000000000007</v>
      </c>
      <c r="AF12" s="6">
        <v>8906.5</v>
      </c>
      <c r="AG12" s="6">
        <v>8954.9</v>
      </c>
      <c r="AH12" s="6">
        <v>8983</v>
      </c>
      <c r="AJ12" s="6">
        <v>8991.6</v>
      </c>
      <c r="AK12" s="6">
        <v>8987.2000000000007</v>
      </c>
      <c r="AT12">
        <v>1954</v>
      </c>
      <c r="AV12">
        <v>135649.64392619257</v>
      </c>
    </row>
    <row r="13" spans="1:48" x14ac:dyDescent="0.2">
      <c r="B13" t="s">
        <v>532</v>
      </c>
      <c r="D13" s="70">
        <f t="shared" ref="D13:G13" si="5">D8</f>
        <v>4717</v>
      </c>
      <c r="E13" s="70">
        <f t="shared" si="5"/>
        <v>5360</v>
      </c>
      <c r="F13" s="70">
        <f t="shared" si="5"/>
        <v>6193</v>
      </c>
      <c r="G13" s="70">
        <f t="shared" si="5"/>
        <v>6335</v>
      </c>
      <c r="H13" s="70">
        <f>H8</f>
        <v>6751</v>
      </c>
      <c r="I13" s="70">
        <f>I8</f>
        <v>7062</v>
      </c>
      <c r="J13" s="70">
        <f t="shared" ref="J13:M13" si="6">J8</f>
        <v>7081</v>
      </c>
      <c r="K13" s="70">
        <f t="shared" si="6"/>
        <v>7096</v>
      </c>
      <c r="L13" s="70">
        <f t="shared" si="6"/>
        <v>7123.5370000000003</v>
      </c>
      <c r="M13" s="70">
        <f t="shared" si="6"/>
        <v>7164</v>
      </c>
      <c r="N13" s="70">
        <f t="shared" ref="N13:W13" si="7">N8</f>
        <v>7204</v>
      </c>
      <c r="O13" s="70">
        <f t="shared" si="7"/>
        <v>7256</v>
      </c>
      <c r="P13" s="70">
        <f t="shared" si="7"/>
        <v>7314</v>
      </c>
      <c r="Q13" s="70">
        <f t="shared" si="7"/>
        <v>7364</v>
      </c>
      <c r="R13" s="70">
        <f t="shared" si="7"/>
        <v>7415.1019999999999</v>
      </c>
      <c r="S13" s="70">
        <f t="shared" si="7"/>
        <v>7459.1279999999997</v>
      </c>
      <c r="T13" s="70">
        <f t="shared" si="7"/>
        <v>7508.7389999999996</v>
      </c>
      <c r="U13" s="70">
        <f t="shared" si="7"/>
        <v>7593.4939999999997</v>
      </c>
      <c r="V13" s="70">
        <f t="shared" si="7"/>
        <v>7701.8559999999998</v>
      </c>
      <c r="W13" s="70">
        <f t="shared" si="7"/>
        <v>7785.8059999999996</v>
      </c>
      <c r="X13" s="6">
        <v>7878.5</v>
      </c>
      <c r="Y13" s="70">
        <f t="shared" ref="Y13:Z13" si="8">Y8</f>
        <v>7954.6620000000003</v>
      </c>
      <c r="Z13" s="70">
        <f t="shared" si="8"/>
        <v>8039.06</v>
      </c>
      <c r="AA13" s="6">
        <v>8329.2000000000007</v>
      </c>
      <c r="AB13" s="6">
        <v>8765.5</v>
      </c>
      <c r="AC13" s="6">
        <v>9172.6</v>
      </c>
      <c r="AD13" s="6">
        <v>9533</v>
      </c>
      <c r="AE13" s="6">
        <v>9858.5</v>
      </c>
      <c r="AF13" s="6">
        <v>10167.9</v>
      </c>
      <c r="AG13" s="6">
        <v>10472.299999999999</v>
      </c>
      <c r="AH13" s="6">
        <v>10769</v>
      </c>
      <c r="AJ13" s="6">
        <v>11050.7</v>
      </c>
      <c r="AK13" s="6">
        <v>11315.4</v>
      </c>
      <c r="AT13">
        <v>1955</v>
      </c>
      <c r="AV13">
        <v>144401.84628448155</v>
      </c>
    </row>
    <row r="14" spans="1:48" x14ac:dyDescent="0.2">
      <c r="B14" t="s">
        <v>533</v>
      </c>
      <c r="D14" s="70">
        <f t="shared" ref="D14:G14" si="9">D8</f>
        <v>4717</v>
      </c>
      <c r="E14" s="70">
        <f t="shared" si="9"/>
        <v>5360</v>
      </c>
      <c r="F14" s="70">
        <f t="shared" si="9"/>
        <v>6193</v>
      </c>
      <c r="G14" s="70">
        <f t="shared" si="9"/>
        <v>6335</v>
      </c>
      <c r="H14" s="70">
        <f>H8</f>
        <v>6751</v>
      </c>
      <c r="I14" s="70">
        <f>I8</f>
        <v>7062</v>
      </c>
      <c r="J14" s="70">
        <f t="shared" ref="J14:M14" si="10">J8</f>
        <v>7081</v>
      </c>
      <c r="K14" s="70">
        <f t="shared" si="10"/>
        <v>7096</v>
      </c>
      <c r="L14" s="70">
        <f t="shared" si="10"/>
        <v>7123.5370000000003</v>
      </c>
      <c r="M14" s="70">
        <f t="shared" si="10"/>
        <v>7164</v>
      </c>
      <c r="N14" s="70">
        <f t="shared" ref="N14:W14" si="11">N8</f>
        <v>7204</v>
      </c>
      <c r="O14" s="70">
        <f t="shared" si="11"/>
        <v>7256</v>
      </c>
      <c r="P14" s="70">
        <f t="shared" si="11"/>
        <v>7314</v>
      </c>
      <c r="Q14" s="70">
        <f t="shared" si="11"/>
        <v>7364</v>
      </c>
      <c r="R14" s="70">
        <f t="shared" si="11"/>
        <v>7415.1019999999999</v>
      </c>
      <c r="S14" s="70">
        <f t="shared" si="11"/>
        <v>7459.1279999999997</v>
      </c>
      <c r="T14" s="70">
        <f t="shared" si="11"/>
        <v>7508.7389999999996</v>
      </c>
      <c r="U14" s="70">
        <f t="shared" si="11"/>
        <v>7593.4939999999997</v>
      </c>
      <c r="V14" s="70">
        <f t="shared" si="11"/>
        <v>7701.8559999999998</v>
      </c>
      <c r="W14" s="70">
        <f t="shared" si="11"/>
        <v>7785.8059999999996</v>
      </c>
      <c r="X14" s="6">
        <v>7833.1</v>
      </c>
      <c r="Y14" s="70">
        <f t="shared" ref="Y14:Z14" si="12">Y8</f>
        <v>7954.6620000000003</v>
      </c>
      <c r="Z14" s="70">
        <f t="shared" si="12"/>
        <v>8039.06</v>
      </c>
      <c r="AA14" s="6">
        <v>7958.6</v>
      </c>
      <c r="AB14" s="6">
        <v>7996.1</v>
      </c>
      <c r="AC14" s="6">
        <v>7968.7</v>
      </c>
      <c r="AD14" s="6">
        <v>7888.3</v>
      </c>
      <c r="AE14" s="6">
        <v>7761.2</v>
      </c>
      <c r="AF14" s="6">
        <v>7599.4</v>
      </c>
      <c r="AG14" s="6">
        <v>7412.3</v>
      </c>
      <c r="AH14" s="6">
        <v>7203.2</v>
      </c>
      <c r="AJ14" s="6">
        <v>6980.8</v>
      </c>
      <c r="AK14" s="6">
        <v>6758.2</v>
      </c>
      <c r="AT14">
        <v>1956</v>
      </c>
      <c r="AV14">
        <v>153600.20212524297</v>
      </c>
    </row>
    <row r="16" spans="1:48" ht="15" x14ac:dyDescent="0.25">
      <c r="B16" s="2" t="s">
        <v>537</v>
      </c>
    </row>
    <row r="17" spans="2:26" ht="15" x14ac:dyDescent="0.25">
      <c r="B17" s="13" t="s">
        <v>534</v>
      </c>
      <c r="D17" s="2">
        <v>1950</v>
      </c>
      <c r="E17" s="2">
        <v>1960</v>
      </c>
      <c r="F17" s="2">
        <v>1970</v>
      </c>
      <c r="G17" s="2">
        <v>1980</v>
      </c>
      <c r="H17" s="2">
        <v>1990</v>
      </c>
      <c r="I17" s="2">
        <v>1995</v>
      </c>
      <c r="J17" s="2">
        <v>1996</v>
      </c>
      <c r="K17" s="2">
        <v>1997</v>
      </c>
      <c r="L17" s="2">
        <v>1998</v>
      </c>
      <c r="M17" s="2">
        <v>1999</v>
      </c>
      <c r="N17" s="2">
        <v>2000</v>
      </c>
      <c r="O17" s="2">
        <v>2001</v>
      </c>
      <c r="P17" s="2">
        <v>2002</v>
      </c>
      <c r="Q17" s="2">
        <v>2003</v>
      </c>
      <c r="R17" s="2">
        <v>2004</v>
      </c>
      <c r="S17" s="2">
        <v>2005</v>
      </c>
      <c r="T17" s="2">
        <v>2006</v>
      </c>
      <c r="U17" s="2">
        <v>2007</v>
      </c>
      <c r="V17" s="2">
        <v>2008</v>
      </c>
      <c r="W17" s="2">
        <v>2009</v>
      </c>
      <c r="X17" s="2">
        <v>2010</v>
      </c>
      <c r="Y17" s="2">
        <v>2011</v>
      </c>
      <c r="Z17" s="2">
        <v>2012</v>
      </c>
    </row>
    <row r="18" spans="2:26" x14ac:dyDescent="0.2">
      <c r="C18" s="9" t="s">
        <v>538</v>
      </c>
      <c r="D18" s="9">
        <v>9640</v>
      </c>
      <c r="E18" s="9">
        <v>15891</v>
      </c>
      <c r="F18" s="9">
        <v>25087</v>
      </c>
      <c r="G18" s="9">
        <v>35252</v>
      </c>
      <c r="H18" s="9">
        <v>46578</v>
      </c>
      <c r="I18" s="69">
        <v>47882</v>
      </c>
      <c r="J18" s="69">
        <v>48692</v>
      </c>
      <c r="K18" s="69">
        <v>48612</v>
      </c>
      <c r="L18" s="69">
        <v>49620</v>
      </c>
      <c r="M18" s="69">
        <v>51213</v>
      </c>
      <c r="N18" s="69">
        <v>52373</v>
      </c>
      <c r="O18" s="69">
        <v>53749</v>
      </c>
      <c r="P18" s="69">
        <v>54029</v>
      </c>
      <c r="Q18" s="69">
        <v>55122</v>
      </c>
      <c r="R18" s="69">
        <v>56171</v>
      </c>
      <c r="S18" s="69">
        <v>57330</v>
      </c>
      <c r="T18" s="69">
        <v>57782</v>
      </c>
      <c r="U18" s="69">
        <v>57432</v>
      </c>
      <c r="V18" s="69">
        <v>58729</v>
      </c>
      <c r="W18" s="69">
        <v>57494</v>
      </c>
      <c r="X18" s="69">
        <v>59785</v>
      </c>
      <c r="Y18" s="9">
        <v>58599</v>
      </c>
      <c r="Z18" s="9">
        <v>58973</v>
      </c>
    </row>
    <row r="19" spans="2:26" x14ac:dyDescent="0.2">
      <c r="B19" t="s">
        <v>1069</v>
      </c>
      <c r="C19" s="9"/>
      <c r="D19" s="9"/>
      <c r="E19" s="9"/>
      <c r="F19" s="35">
        <f>F18/Z18</f>
        <v>0.42539806352059417</v>
      </c>
      <c r="G19" s="9"/>
      <c r="H19" s="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9"/>
      <c r="Z19" s="9"/>
    </row>
    <row r="20" spans="2:26" x14ac:dyDescent="0.2">
      <c r="C20" s="9" t="s">
        <v>1370</v>
      </c>
      <c r="D20" s="111">
        <v>2462</v>
      </c>
      <c r="E20" s="111">
        <v>8973</v>
      </c>
      <c r="F20" s="111">
        <v>23387</v>
      </c>
      <c r="G20" s="111">
        <v>32071</v>
      </c>
      <c r="H20" s="111">
        <v>42649</v>
      </c>
      <c r="I20" s="111">
        <v>41323.977458258094</v>
      </c>
      <c r="J20" s="111">
        <v>41682.9729231862</v>
      </c>
      <c r="K20" s="111">
        <v>42447.935472184821</v>
      </c>
      <c r="L20" s="111">
        <v>43443.046896446198</v>
      </c>
      <c r="M20" s="111">
        <v>44405.582466648295</v>
      </c>
      <c r="N20" s="111">
        <v>45612.684980865335</v>
      </c>
      <c r="O20" s="111">
        <v>46202.491211481203</v>
      </c>
      <c r="P20" s="111">
        <v>46837.216355955519</v>
      </c>
      <c r="Q20" s="111">
        <v>47323.005225513603</v>
      </c>
      <c r="R20" s="111">
        <v>47856.009129435704</v>
      </c>
      <c r="S20" s="111">
        <v>48039.968518961279</v>
      </c>
      <c r="T20" s="111">
        <v>48330.898658662438</v>
      </c>
      <c r="U20" s="111">
        <v>48727.996091082219</v>
      </c>
      <c r="V20" s="111">
        <v>49466.865041812322</v>
      </c>
      <c r="W20" s="111">
        <v>50372.877979655226</v>
      </c>
      <c r="X20" s="111">
        <v>50948.60100446362</v>
      </c>
      <c r="Y20" s="111">
        <v>51575.290634312623</v>
      </c>
      <c r="Z20" s="111">
        <v>52581.901237051621</v>
      </c>
    </row>
    <row r="21" spans="2:26" x14ac:dyDescent="0.2">
      <c r="C21" s="9" t="s">
        <v>1371</v>
      </c>
      <c r="D21" s="112">
        <f>1000*D20/D8</f>
        <v>521.94191223235111</v>
      </c>
      <c r="E21" s="112">
        <f t="shared" ref="E21:Z21" si="13">1000*E20/E8</f>
        <v>1674.0671641791046</v>
      </c>
      <c r="F21" s="112">
        <f t="shared" si="13"/>
        <v>3776.3604069110288</v>
      </c>
      <c r="G21" s="112">
        <f t="shared" si="13"/>
        <v>5062.5098658247825</v>
      </c>
      <c r="H21" s="112">
        <f t="shared" si="13"/>
        <v>6317.4344541549399</v>
      </c>
      <c r="I21" s="112">
        <f t="shared" si="13"/>
        <v>5851.5969213053095</v>
      </c>
      <c r="J21" s="112">
        <f t="shared" si="13"/>
        <v>5886.5941142756956</v>
      </c>
      <c r="K21" s="112">
        <f t="shared" si="13"/>
        <v>5981.9525749978611</v>
      </c>
      <c r="L21" s="112">
        <f t="shared" si="13"/>
        <v>6098.5219696965423</v>
      </c>
      <c r="M21" s="112">
        <f t="shared" si="13"/>
        <v>6198.4341801574956</v>
      </c>
      <c r="N21" s="112">
        <f t="shared" si="13"/>
        <v>6331.5775931240059</v>
      </c>
      <c r="O21" s="112">
        <f t="shared" si="13"/>
        <v>6367.4877634345657</v>
      </c>
      <c r="P21" s="112">
        <f t="shared" si="13"/>
        <v>6403.775821158808</v>
      </c>
      <c r="Q21" s="112">
        <f t="shared" si="13"/>
        <v>6426.2636102001088</v>
      </c>
      <c r="R21" s="112">
        <f t="shared" si="13"/>
        <v>6453.8571592724829</v>
      </c>
      <c r="S21" s="112">
        <f t="shared" si="13"/>
        <v>6440.4268862206527</v>
      </c>
      <c r="T21" s="112">
        <f t="shared" si="13"/>
        <v>6436.6198716805102</v>
      </c>
      <c r="U21" s="112">
        <f t="shared" si="13"/>
        <v>6417.0717842250515</v>
      </c>
      <c r="V21" s="112">
        <f t="shared" si="13"/>
        <v>6422.7200614776912</v>
      </c>
      <c r="W21" s="112">
        <f t="shared" si="13"/>
        <v>6469.8347197008543</v>
      </c>
      <c r="X21" s="112">
        <f t="shared" si="13"/>
        <v>6473.7739522825441</v>
      </c>
      <c r="Y21" s="112">
        <f t="shared" si="13"/>
        <v>6483.6558277790582</v>
      </c>
      <c r="Z21" s="112">
        <f t="shared" si="13"/>
        <v>6540.8021879487924</v>
      </c>
    </row>
    <row r="22" spans="2:26" ht="15" x14ac:dyDescent="0.25">
      <c r="B22" s="13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Z22" s="2"/>
    </row>
    <row r="23" spans="2:26" ht="15" x14ac:dyDescent="0.25">
      <c r="B23" s="2" t="s">
        <v>541</v>
      </c>
      <c r="D23" s="69"/>
      <c r="U23" s="2"/>
      <c r="V23" s="2"/>
      <c r="W23" s="2"/>
      <c r="X23" s="2"/>
      <c r="Y23" s="2"/>
      <c r="Z23" s="2"/>
    </row>
    <row r="24" spans="2:26" ht="15" x14ac:dyDescent="0.25">
      <c r="B24" s="13" t="s">
        <v>540</v>
      </c>
      <c r="D24" s="2">
        <v>1950</v>
      </c>
      <c r="E24" s="2">
        <v>1960</v>
      </c>
      <c r="F24" s="2">
        <v>1970</v>
      </c>
      <c r="G24" s="2">
        <v>1980</v>
      </c>
      <c r="H24" s="2">
        <v>1990</v>
      </c>
      <c r="I24" s="2">
        <v>1995</v>
      </c>
      <c r="J24" s="2">
        <v>1996</v>
      </c>
      <c r="K24" s="2">
        <v>1997</v>
      </c>
      <c r="L24" s="2">
        <v>1998</v>
      </c>
      <c r="M24" s="2">
        <v>1999</v>
      </c>
      <c r="N24" s="2">
        <v>2000</v>
      </c>
      <c r="O24" s="2">
        <v>2001</v>
      </c>
      <c r="P24" s="2">
        <v>2002</v>
      </c>
      <c r="Q24" s="2">
        <v>2003</v>
      </c>
      <c r="R24" s="2">
        <v>2004</v>
      </c>
      <c r="S24" s="2">
        <v>2005</v>
      </c>
      <c r="T24" s="2">
        <v>2006</v>
      </c>
      <c r="U24" s="2">
        <v>2007</v>
      </c>
      <c r="V24" s="2">
        <v>2008</v>
      </c>
      <c r="W24" s="2">
        <v>2009</v>
      </c>
      <c r="X24" s="2">
        <v>2010</v>
      </c>
      <c r="Y24" s="2">
        <v>2011</v>
      </c>
      <c r="Z24" s="2">
        <v>2012</v>
      </c>
    </row>
    <row r="25" spans="2:26" x14ac:dyDescent="0.2">
      <c r="B25" s="13"/>
      <c r="C25" t="s">
        <v>539</v>
      </c>
      <c r="D25" s="6">
        <v>114794.34177742807</v>
      </c>
      <c r="E25" s="6">
        <v>177407.71136015482</v>
      </c>
      <c r="F25" s="6">
        <v>281987.98617714999</v>
      </c>
      <c r="G25" s="6">
        <v>323375.84114693303</v>
      </c>
      <c r="H25" s="6">
        <v>402819.95902811008</v>
      </c>
      <c r="I25" s="6">
        <v>405453.45143399184</v>
      </c>
      <c r="J25" s="6">
        <v>407418.57220652315</v>
      </c>
      <c r="K25" s="6">
        <v>415738.94263551303</v>
      </c>
      <c r="L25" s="6">
        <v>427106.04417511006</v>
      </c>
      <c r="M25" s="6">
        <v>433068.85956958053</v>
      </c>
      <c r="N25" s="6">
        <v>448967.63149676565</v>
      </c>
      <c r="O25" s="6">
        <v>454548.97977494256</v>
      </c>
      <c r="P25" s="6">
        <v>455391.57662576815</v>
      </c>
      <c r="Q25" s="6">
        <v>455487.59936921531</v>
      </c>
      <c r="R25" s="6">
        <v>466515.57386751083</v>
      </c>
      <c r="S25" s="6">
        <v>479087.94522450247</v>
      </c>
      <c r="T25" s="6">
        <v>497061.20134859259</v>
      </c>
      <c r="U25" s="6">
        <v>516176.7737746663</v>
      </c>
      <c r="V25" s="6">
        <v>527348.16050789796</v>
      </c>
      <c r="W25" s="6">
        <v>517134.31934148312</v>
      </c>
      <c r="X25" s="6">
        <v>532406.44339718088</v>
      </c>
      <c r="Y25" s="6">
        <v>541938.02232993837</v>
      </c>
      <c r="Z25" s="6">
        <v>547623.45866813709</v>
      </c>
    </row>
    <row r="26" spans="2:26" ht="15" x14ac:dyDescent="0.25">
      <c r="B26" s="13"/>
      <c r="D26" s="69"/>
      <c r="E26" s="2"/>
      <c r="F26" s="35">
        <f>F25/Z25</f>
        <v>0.51493043571027208</v>
      </c>
      <c r="G26" s="2"/>
      <c r="H26" s="2"/>
      <c r="I26" s="2"/>
      <c r="J26" s="2"/>
      <c r="K26" s="2"/>
      <c r="L26" s="2"/>
      <c r="M26" s="2"/>
      <c r="N26" s="71">
        <f>(Z25/N25)^(1/12)-1</f>
        <v>1.6690856267565835E-2</v>
      </c>
      <c r="O26" s="72" t="s">
        <v>543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5" x14ac:dyDescent="0.25">
      <c r="B27" s="2" t="s">
        <v>542</v>
      </c>
      <c r="D27" s="6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5" x14ac:dyDescent="0.25">
      <c r="B28" s="13"/>
      <c r="D28" s="2">
        <v>1950</v>
      </c>
      <c r="E28" s="2">
        <v>1960</v>
      </c>
      <c r="F28" s="2">
        <v>1970</v>
      </c>
      <c r="G28" s="2">
        <v>1980</v>
      </c>
      <c r="H28" s="2">
        <v>1990</v>
      </c>
      <c r="I28" s="2">
        <v>1995</v>
      </c>
      <c r="J28" s="2">
        <v>1996</v>
      </c>
      <c r="K28" s="2">
        <v>1997</v>
      </c>
      <c r="L28" s="2">
        <v>1998</v>
      </c>
      <c r="M28" s="2">
        <v>1999</v>
      </c>
      <c r="N28" s="2">
        <v>2000</v>
      </c>
      <c r="O28" s="2">
        <v>2001</v>
      </c>
      <c r="P28" s="2">
        <v>2002</v>
      </c>
      <c r="Q28" s="2">
        <v>2003</v>
      </c>
      <c r="R28" s="2">
        <v>2004</v>
      </c>
      <c r="S28" s="2">
        <v>2005</v>
      </c>
      <c r="T28" s="2">
        <v>2006</v>
      </c>
      <c r="U28" s="2">
        <v>2007</v>
      </c>
      <c r="V28" s="2">
        <v>2008</v>
      </c>
      <c r="W28" s="2">
        <v>2009</v>
      </c>
      <c r="X28" s="2">
        <v>2010</v>
      </c>
      <c r="Y28" s="2">
        <v>2011</v>
      </c>
      <c r="Z28" s="2">
        <v>2012</v>
      </c>
    </row>
    <row r="29" spans="2:26" x14ac:dyDescent="0.2">
      <c r="B29" s="13"/>
      <c r="C29" t="s">
        <v>1254</v>
      </c>
      <c r="D29" s="35">
        <f t="shared" ref="D29:Z29" si="14">D25/$I25</f>
        <v>0.28312582214167359</v>
      </c>
      <c r="E29" s="35">
        <f t="shared" si="14"/>
        <v>0.43755383196938191</v>
      </c>
      <c r="F29" s="35">
        <f t="shared" si="14"/>
        <v>0.69548794116766288</v>
      </c>
      <c r="G29" s="35">
        <f t="shared" si="14"/>
        <v>0.79756588580817367</v>
      </c>
      <c r="H29" s="35">
        <f t="shared" si="14"/>
        <v>0.99350482183203093</v>
      </c>
      <c r="I29" s="35">
        <f t="shared" si="14"/>
        <v>1</v>
      </c>
      <c r="J29" s="35">
        <f t="shared" si="14"/>
        <v>1.0048467235032312</v>
      </c>
      <c r="K29" s="35">
        <f t="shared" si="14"/>
        <v>1.0253678718608605</v>
      </c>
      <c r="L29" s="35">
        <f t="shared" si="14"/>
        <v>1.0534033997356249</v>
      </c>
      <c r="M29" s="35">
        <f t="shared" si="14"/>
        <v>1.0681099347851637</v>
      </c>
      <c r="N29" s="35">
        <f t="shared" si="14"/>
        <v>1.1073222583477205</v>
      </c>
      <c r="O29" s="35">
        <f t="shared" si="14"/>
        <v>1.12108795267943</v>
      </c>
      <c r="P29" s="35">
        <f t="shared" si="14"/>
        <v>1.1231661119547931</v>
      </c>
      <c r="Q29" s="35">
        <f t="shared" si="14"/>
        <v>1.1234029399879681</v>
      </c>
      <c r="R29" s="35">
        <f t="shared" si="14"/>
        <v>1.150602053620599</v>
      </c>
      <c r="S29" s="35">
        <f t="shared" si="14"/>
        <v>1.1816102280794085</v>
      </c>
      <c r="T29" s="35">
        <f t="shared" si="14"/>
        <v>1.2259390062918594</v>
      </c>
      <c r="U29" s="35">
        <f t="shared" si="14"/>
        <v>1.2730851641515755</v>
      </c>
      <c r="V29" s="35">
        <f t="shared" si="14"/>
        <v>1.3006379860444983</v>
      </c>
      <c r="W29" s="35">
        <f t="shared" si="14"/>
        <v>1.2754468299936843</v>
      </c>
      <c r="X29" s="35">
        <f t="shared" si="14"/>
        <v>1.3131136053082955</v>
      </c>
      <c r="Y29" s="35">
        <f t="shared" si="14"/>
        <v>1.3366220472738197</v>
      </c>
      <c r="Z29" s="35">
        <f t="shared" si="14"/>
        <v>1.3506444617287729</v>
      </c>
    </row>
    <row r="30" spans="2:26" x14ac:dyDescent="0.2">
      <c r="B30" s="13"/>
      <c r="C30" t="s">
        <v>1253</v>
      </c>
      <c r="D30" s="35">
        <f t="shared" ref="D30:Z30" si="15">D18/$I18</f>
        <v>0.20132826531890899</v>
      </c>
      <c r="E30" s="35">
        <f t="shared" si="15"/>
        <v>0.33187836765381562</v>
      </c>
      <c r="F30" s="35">
        <f t="shared" si="15"/>
        <v>0.52393383735015242</v>
      </c>
      <c r="G30" s="35">
        <f t="shared" si="15"/>
        <v>0.73622655695250827</v>
      </c>
      <c r="H30" s="35">
        <f t="shared" si="15"/>
        <v>0.97276638402740068</v>
      </c>
      <c r="I30" s="35">
        <f t="shared" si="15"/>
        <v>1</v>
      </c>
      <c r="J30" s="35">
        <f t="shared" si="15"/>
        <v>1.0169165866087464</v>
      </c>
      <c r="K30" s="35">
        <f t="shared" si="15"/>
        <v>1.0152458126226975</v>
      </c>
      <c r="L30" s="35">
        <f t="shared" si="15"/>
        <v>1.0362975648469153</v>
      </c>
      <c r="M30" s="35">
        <f t="shared" si="15"/>
        <v>1.0695668518441168</v>
      </c>
      <c r="N30" s="35">
        <f t="shared" si="15"/>
        <v>1.0937930746418278</v>
      </c>
      <c r="O30" s="35">
        <f t="shared" si="15"/>
        <v>1.1225303872018713</v>
      </c>
      <c r="P30" s="35">
        <f t="shared" si="15"/>
        <v>1.128378096153043</v>
      </c>
      <c r="Q30" s="35">
        <f t="shared" si="15"/>
        <v>1.1512050457374379</v>
      </c>
      <c r="R30" s="35">
        <f t="shared" si="15"/>
        <v>1.1731130696295058</v>
      </c>
      <c r="S30" s="35">
        <f t="shared" si="15"/>
        <v>1.1973184077523913</v>
      </c>
      <c r="T30" s="35">
        <f t="shared" si="15"/>
        <v>1.2067582807735684</v>
      </c>
      <c r="U30" s="35">
        <f t="shared" si="15"/>
        <v>1.1994486445846038</v>
      </c>
      <c r="V30" s="35">
        <f t="shared" si="15"/>
        <v>1.2265360678334238</v>
      </c>
      <c r="W30" s="35">
        <f t="shared" si="15"/>
        <v>1.2007434944237918</v>
      </c>
      <c r="X30" s="35">
        <f t="shared" si="15"/>
        <v>1.2485902844492711</v>
      </c>
      <c r="Y30" s="35">
        <f t="shared" si="15"/>
        <v>1.2238210601060941</v>
      </c>
      <c r="Z30" s="35">
        <f t="shared" si="15"/>
        <v>1.2316319284908734</v>
      </c>
    </row>
    <row r="31" spans="2:26" x14ac:dyDescent="0.2">
      <c r="B31" s="13"/>
      <c r="C31" t="s">
        <v>507</v>
      </c>
      <c r="D31" s="35">
        <f t="shared" ref="D31:Z31" si="16">D8/$I8</f>
        <v>0.66794109317473804</v>
      </c>
      <c r="E31" s="35">
        <f t="shared" si="16"/>
        <v>0.75899178702917025</v>
      </c>
      <c r="F31" s="35">
        <f t="shared" si="16"/>
        <v>0.87694704049844241</v>
      </c>
      <c r="G31" s="35">
        <f t="shared" si="16"/>
        <v>0.89705465873690171</v>
      </c>
      <c r="H31" s="35">
        <f t="shared" si="16"/>
        <v>0.95596148399886716</v>
      </c>
      <c r="I31" s="35">
        <f t="shared" si="16"/>
        <v>1</v>
      </c>
      <c r="J31" s="35">
        <f t="shared" si="16"/>
        <v>1.002690455961484</v>
      </c>
      <c r="K31" s="35">
        <f t="shared" si="16"/>
        <v>1.0048145001416029</v>
      </c>
      <c r="L31" s="35">
        <f t="shared" si="16"/>
        <v>1.0087138204474653</v>
      </c>
      <c r="M31" s="35">
        <f t="shared" si="16"/>
        <v>1.0144435004248089</v>
      </c>
      <c r="N31" s="35">
        <f t="shared" si="16"/>
        <v>1.0201076182384594</v>
      </c>
      <c r="O31" s="35">
        <f t="shared" si="16"/>
        <v>1.0274709713962051</v>
      </c>
      <c r="P31" s="35">
        <f t="shared" si="16"/>
        <v>1.0356839422259982</v>
      </c>
      <c r="Q31" s="35">
        <f t="shared" si="16"/>
        <v>1.0427640894930614</v>
      </c>
      <c r="R31" s="35">
        <f t="shared" si="16"/>
        <v>1.0500002832058906</v>
      </c>
      <c r="S31" s="35">
        <f t="shared" si="16"/>
        <v>1.0562344944774851</v>
      </c>
      <c r="T31" s="35">
        <f t="shared" si="16"/>
        <v>1.0632595581988105</v>
      </c>
      <c r="U31" s="35">
        <f t="shared" si="16"/>
        <v>1.0752611158312093</v>
      </c>
      <c r="V31" s="35">
        <f t="shared" si="16"/>
        <v>1.0906054941942791</v>
      </c>
      <c r="W31" s="35">
        <f t="shared" si="16"/>
        <v>1.1024930614556783</v>
      </c>
      <c r="X31" s="35">
        <f t="shared" si="16"/>
        <v>1.1144151798357407</v>
      </c>
      <c r="Y31" s="35">
        <f t="shared" si="16"/>
        <v>1.1264035683942226</v>
      </c>
      <c r="Z31" s="35">
        <f t="shared" si="16"/>
        <v>1.1383545737751346</v>
      </c>
    </row>
    <row r="32" spans="2:26" ht="15" x14ac:dyDescent="0.25">
      <c r="B32" s="13"/>
      <c r="D32" s="6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5" x14ac:dyDescent="0.25">
      <c r="B33" s="13"/>
      <c r="D33" s="6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5" x14ac:dyDescent="0.25">
      <c r="B34" s="13"/>
      <c r="D34" s="6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" x14ac:dyDescent="0.25">
      <c r="B35" s="13"/>
      <c r="D35" s="6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" x14ac:dyDescent="0.25">
      <c r="B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" x14ac:dyDescent="0.25">
      <c r="B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" x14ac:dyDescent="0.25">
      <c r="B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5" x14ac:dyDescent="0.25">
      <c r="B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" x14ac:dyDescent="0.25">
      <c r="B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5" x14ac:dyDescent="0.25">
      <c r="B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5" x14ac:dyDescent="0.25">
      <c r="B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 x14ac:dyDescent="0.25">
      <c r="B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" x14ac:dyDescent="0.25">
      <c r="B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 x14ac:dyDescent="0.25">
      <c r="B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" x14ac:dyDescent="0.25">
      <c r="B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50" spans="2:19" ht="15" x14ac:dyDescent="0.25">
      <c r="B50" s="2" t="s">
        <v>4</v>
      </c>
    </row>
    <row r="51" spans="2:19" ht="15" x14ac:dyDescent="0.25">
      <c r="B51" s="2"/>
      <c r="C51" s="13" t="s">
        <v>129</v>
      </c>
    </row>
    <row r="52" spans="2:19" ht="15" x14ac:dyDescent="0.25">
      <c r="D52" s="2">
        <v>2000</v>
      </c>
      <c r="E52" s="2">
        <v>2001</v>
      </c>
      <c r="F52" s="2">
        <v>2002</v>
      </c>
      <c r="G52" s="2">
        <v>2003</v>
      </c>
      <c r="H52" s="2">
        <v>2004</v>
      </c>
      <c r="I52" s="2">
        <v>2005</v>
      </c>
      <c r="J52" s="2">
        <v>2006</v>
      </c>
      <c r="K52" s="2">
        <v>2007</v>
      </c>
      <c r="L52" s="2">
        <v>2008</v>
      </c>
      <c r="M52" s="2">
        <v>2009</v>
      </c>
      <c r="N52" s="2">
        <v>2010</v>
      </c>
      <c r="O52" s="2">
        <v>2011</v>
      </c>
      <c r="P52" s="2">
        <v>2012</v>
      </c>
      <c r="Q52" s="2">
        <v>2013</v>
      </c>
      <c r="S52" s="9"/>
    </row>
    <row r="53" spans="2:19" x14ac:dyDescent="0.2">
      <c r="B53" t="s">
        <v>1301</v>
      </c>
      <c r="C53" t="s">
        <v>1300</v>
      </c>
      <c r="O53">
        <v>3.7679999999999998</v>
      </c>
      <c r="S53" s="9"/>
    </row>
    <row r="54" spans="2:19" x14ac:dyDescent="0.2">
      <c r="C54" t="s">
        <v>1302</v>
      </c>
      <c r="O54">
        <v>8.0730000000000004</v>
      </c>
      <c r="S54" s="9"/>
    </row>
    <row r="55" spans="2:19" x14ac:dyDescent="0.2">
      <c r="C55" t="s">
        <v>1303</v>
      </c>
      <c r="O55">
        <v>1.383</v>
      </c>
      <c r="S55" s="9"/>
    </row>
    <row r="56" spans="2:19" x14ac:dyDescent="0.2">
      <c r="C56" t="s">
        <v>1304</v>
      </c>
      <c r="O56">
        <v>0.45600000000000002</v>
      </c>
      <c r="S56" s="9"/>
    </row>
    <row r="57" spans="2:19" x14ac:dyDescent="0.2">
      <c r="C57" t="s">
        <v>1305</v>
      </c>
      <c r="O57">
        <v>0.76</v>
      </c>
      <c r="S57" s="9"/>
    </row>
    <row r="58" spans="2:19" x14ac:dyDescent="0.2">
      <c r="S58" s="9"/>
    </row>
    <row r="59" spans="2:19" x14ac:dyDescent="0.2">
      <c r="S59" s="9"/>
    </row>
    <row r="60" spans="2:19" ht="15" x14ac:dyDescent="0.25">
      <c r="B60" s="2" t="s">
        <v>390</v>
      </c>
      <c r="S60" s="9"/>
    </row>
    <row r="61" spans="2:19" ht="15" x14ac:dyDescent="0.25">
      <c r="C61" s="13" t="s">
        <v>128</v>
      </c>
      <c r="D61" s="2">
        <v>2000</v>
      </c>
      <c r="E61" s="2">
        <v>2001</v>
      </c>
      <c r="F61" s="2">
        <v>2002</v>
      </c>
      <c r="G61" s="2">
        <v>2003</v>
      </c>
      <c r="H61" s="2">
        <v>2004</v>
      </c>
      <c r="I61" s="2">
        <v>2005</v>
      </c>
      <c r="J61" s="2">
        <v>2006</v>
      </c>
      <c r="K61" s="2">
        <v>2007</v>
      </c>
      <c r="L61" s="2">
        <v>2008</v>
      </c>
      <c r="M61" s="2">
        <v>2009</v>
      </c>
      <c r="N61" s="2">
        <v>2010</v>
      </c>
      <c r="O61" s="2">
        <v>2011</v>
      </c>
      <c r="P61" s="2">
        <v>2012</v>
      </c>
      <c r="Q61" s="2">
        <v>2013</v>
      </c>
      <c r="R61" s="2">
        <v>2014</v>
      </c>
      <c r="S61" s="2">
        <v>2015</v>
      </c>
    </row>
    <row r="62" spans="2:19" x14ac:dyDescent="0.2">
      <c r="C62" s="22" t="s">
        <v>110</v>
      </c>
      <c r="D62" s="14">
        <v>24.949000000000002</v>
      </c>
      <c r="E62" s="14">
        <v>25.292999999999999</v>
      </c>
      <c r="F62" s="14">
        <v>25.692</v>
      </c>
      <c r="G62" s="14">
        <v>25.931000000000001</v>
      </c>
      <c r="H62" s="14">
        <v>25.431999999999999</v>
      </c>
      <c r="I62" s="14">
        <v>22.02</v>
      </c>
      <c r="J62" s="14">
        <v>26.244</v>
      </c>
      <c r="K62" s="14">
        <v>26.344000000000001</v>
      </c>
      <c r="L62" s="14">
        <v>26.132000000000001</v>
      </c>
      <c r="M62" s="14">
        <v>26.119</v>
      </c>
      <c r="N62" s="14">
        <v>25.204999999999998</v>
      </c>
      <c r="O62" s="14">
        <v>25.56</v>
      </c>
      <c r="P62" s="14">
        <v>24.344999999999999</v>
      </c>
      <c r="Q62" s="14">
        <v>24.870999999999999</v>
      </c>
      <c r="R62" s="14">
        <v>26.37</v>
      </c>
      <c r="S62" s="14">
        <v>22.094999999999999</v>
      </c>
    </row>
    <row r="63" spans="2:19" x14ac:dyDescent="0.2">
      <c r="C63" s="9" t="s">
        <v>165</v>
      </c>
      <c r="D63">
        <v>17.565999999999999</v>
      </c>
      <c r="E63">
        <v>17.751000000000001</v>
      </c>
      <c r="F63">
        <v>17.625</v>
      </c>
      <c r="G63" s="25">
        <v>15.398</v>
      </c>
      <c r="H63" s="25">
        <v>16.039000000000001</v>
      </c>
      <c r="I63" s="25">
        <v>14.997999999999999</v>
      </c>
      <c r="J63" s="25">
        <v>15.819000000000001</v>
      </c>
      <c r="K63" s="25">
        <v>16.547000000000001</v>
      </c>
      <c r="L63" s="25">
        <v>16.686</v>
      </c>
      <c r="M63" s="25">
        <v>16.11</v>
      </c>
      <c r="N63" s="25">
        <v>16.03</v>
      </c>
      <c r="O63" s="25">
        <v>14.733000000000001</v>
      </c>
      <c r="P63" s="25">
        <v>17.832000000000001</v>
      </c>
      <c r="Q63">
        <v>17.759</v>
      </c>
      <c r="R63">
        <v>17.242999999999999</v>
      </c>
      <c r="S63" s="9">
        <v>16.594999999999999</v>
      </c>
    </row>
    <row r="64" spans="2:19" x14ac:dyDescent="0.2">
      <c r="C64" s="9" t="s">
        <v>387</v>
      </c>
      <c r="D64">
        <v>20.285</v>
      </c>
      <c r="E64">
        <v>24.51</v>
      </c>
      <c r="F64">
        <v>18.888000000000002</v>
      </c>
      <c r="G64">
        <v>21.047000000000001</v>
      </c>
      <c r="H64">
        <v>19.077999999999999</v>
      </c>
      <c r="I64">
        <v>17.760999999999999</v>
      </c>
      <c r="J64">
        <v>16.738</v>
      </c>
      <c r="K64">
        <v>19.826000000000001</v>
      </c>
      <c r="L64">
        <v>20.873000000000001</v>
      </c>
      <c r="M64">
        <v>21.026</v>
      </c>
      <c r="N64">
        <v>21.42</v>
      </c>
      <c r="O64">
        <v>19.062000000000001</v>
      </c>
      <c r="P64">
        <v>22.074000000000002</v>
      </c>
      <c r="Q64">
        <v>21.812999999999999</v>
      </c>
      <c r="R64">
        <v>22.065000000000001</v>
      </c>
      <c r="S64" s="9">
        <v>22.890999999999998</v>
      </c>
    </row>
    <row r="65" spans="3:19" x14ac:dyDescent="0.2">
      <c r="C65" s="9" t="s">
        <v>9</v>
      </c>
      <c r="D65">
        <v>1.974</v>
      </c>
      <c r="E65">
        <v>1.9470000000000001</v>
      </c>
      <c r="F65">
        <v>2.4180000000000001</v>
      </c>
      <c r="G65">
        <v>2.8929999999999998</v>
      </c>
      <c r="H65">
        <v>2.4329999999999998</v>
      </c>
      <c r="I65">
        <v>2.6309999999999998</v>
      </c>
      <c r="J65">
        <v>2.72</v>
      </c>
      <c r="K65">
        <v>2.1040000000000001</v>
      </c>
      <c r="L65">
        <v>2.6850000000000001</v>
      </c>
      <c r="M65">
        <v>2.5230000000000001</v>
      </c>
      <c r="N65">
        <v>2.4940000000000002</v>
      </c>
      <c r="O65">
        <v>2.4660000000000002</v>
      </c>
      <c r="P65">
        <v>2.411</v>
      </c>
      <c r="Q65">
        <v>2.1320000000000001</v>
      </c>
      <c r="R65">
        <v>2.355</v>
      </c>
      <c r="S65">
        <v>2.2959999999999998</v>
      </c>
    </row>
    <row r="66" spans="3:19" x14ac:dyDescent="0.2">
      <c r="C66" s="9" t="s">
        <v>388</v>
      </c>
      <c r="D66">
        <f t="shared" ref="D66:F66" si="17">D64-D65</f>
        <v>18.311</v>
      </c>
      <c r="E66">
        <f t="shared" si="17"/>
        <v>22.563000000000002</v>
      </c>
      <c r="F66">
        <f t="shared" si="17"/>
        <v>16.470000000000002</v>
      </c>
      <c r="G66">
        <f t="shared" ref="G66:M66" si="18">G64-G65</f>
        <v>18.154</v>
      </c>
      <c r="H66">
        <f t="shared" si="18"/>
        <v>16.645</v>
      </c>
      <c r="I66">
        <f t="shared" si="18"/>
        <v>15.129999999999999</v>
      </c>
      <c r="J66">
        <f t="shared" si="18"/>
        <v>14.017999999999999</v>
      </c>
      <c r="K66">
        <f t="shared" si="18"/>
        <v>17.722000000000001</v>
      </c>
      <c r="L66">
        <f t="shared" si="18"/>
        <v>18.188000000000002</v>
      </c>
      <c r="M66">
        <f t="shared" si="18"/>
        <v>18.503</v>
      </c>
      <c r="N66">
        <f>N64-N65</f>
        <v>18.926000000000002</v>
      </c>
      <c r="O66">
        <f t="shared" ref="O66" si="19">O64-O65</f>
        <v>16.596</v>
      </c>
      <c r="P66">
        <f t="shared" ref="P66:S66" si="20">P64-P65</f>
        <v>19.663</v>
      </c>
      <c r="Q66">
        <f t="shared" si="20"/>
        <v>19.680999999999997</v>
      </c>
      <c r="R66">
        <f t="shared" si="20"/>
        <v>19.71</v>
      </c>
      <c r="S66">
        <f t="shared" si="20"/>
        <v>20.594999999999999</v>
      </c>
    </row>
    <row r="67" spans="3:19" x14ac:dyDescent="0.2">
      <c r="C67" t="s">
        <v>925</v>
      </c>
      <c r="D67" s="25">
        <f t="shared" ref="D67:P67" si="21">D63+D66</f>
        <v>35.876999999999995</v>
      </c>
      <c r="E67" s="25">
        <f t="shared" si="21"/>
        <v>40.314000000000007</v>
      </c>
      <c r="F67" s="25">
        <f t="shared" si="21"/>
        <v>34.094999999999999</v>
      </c>
      <c r="G67" s="25">
        <f t="shared" si="21"/>
        <v>33.552</v>
      </c>
      <c r="H67" s="25">
        <f t="shared" si="21"/>
        <v>32.683999999999997</v>
      </c>
      <c r="I67" s="25">
        <f t="shared" si="21"/>
        <v>30.128</v>
      </c>
      <c r="J67" s="25">
        <f t="shared" si="21"/>
        <v>29.837</v>
      </c>
      <c r="K67" s="25">
        <f t="shared" si="21"/>
        <v>34.269000000000005</v>
      </c>
      <c r="L67" s="25">
        <f t="shared" si="21"/>
        <v>34.874000000000002</v>
      </c>
      <c r="M67" s="25">
        <f t="shared" si="21"/>
        <v>34.613</v>
      </c>
      <c r="N67" s="25">
        <f t="shared" si="21"/>
        <v>34.956000000000003</v>
      </c>
      <c r="O67" s="25">
        <f t="shared" si="21"/>
        <v>31.329000000000001</v>
      </c>
      <c r="P67" s="25">
        <f t="shared" si="21"/>
        <v>37.495000000000005</v>
      </c>
      <c r="Q67" s="25">
        <f t="shared" ref="Q67:S67" si="22">Q63+Q66</f>
        <v>37.44</v>
      </c>
      <c r="R67" s="25">
        <f t="shared" si="22"/>
        <v>36.953000000000003</v>
      </c>
      <c r="S67" s="25">
        <f t="shared" si="22"/>
        <v>37.19</v>
      </c>
    </row>
    <row r="68" spans="3:19" x14ac:dyDescent="0.2">
      <c r="C68" s="29" t="s">
        <v>166</v>
      </c>
      <c r="D68" s="29">
        <v>2.548</v>
      </c>
      <c r="E68" s="29">
        <v>2.62</v>
      </c>
      <c r="F68" s="29">
        <v>2.806</v>
      </c>
      <c r="G68" s="27">
        <v>2.89</v>
      </c>
      <c r="H68" s="27">
        <v>2.9740000000000002</v>
      </c>
      <c r="I68" s="27">
        <v>3.1389999999999998</v>
      </c>
      <c r="J68" s="27">
        <v>3.34</v>
      </c>
      <c r="K68" s="27">
        <v>3.1989999999999998</v>
      </c>
      <c r="L68" s="27">
        <v>3.2759999999999998</v>
      </c>
      <c r="M68" s="27">
        <v>3.2389999999999999</v>
      </c>
      <c r="N68" s="27">
        <v>3.597</v>
      </c>
      <c r="O68" s="27">
        <v>3.5259999999999998</v>
      </c>
      <c r="P68" s="26">
        <v>3.7679999999999998</v>
      </c>
      <c r="Q68" s="14">
        <v>3.8690000000000002</v>
      </c>
      <c r="R68" s="171">
        <v>3.9550000000000001</v>
      </c>
      <c r="S68" s="14">
        <v>4.3760000000000003</v>
      </c>
    </row>
    <row r="69" spans="3:19" x14ac:dyDescent="0.2">
      <c r="C69" s="85" t="s">
        <v>133</v>
      </c>
      <c r="D69" s="85"/>
      <c r="E69" s="85"/>
      <c r="F69" s="85"/>
      <c r="G69" s="101"/>
      <c r="H69" s="101">
        <v>3.4</v>
      </c>
      <c r="I69" s="101"/>
      <c r="J69" s="101"/>
      <c r="K69" s="101"/>
      <c r="L69" s="101"/>
      <c r="M69" s="101"/>
      <c r="N69" s="101"/>
      <c r="O69" s="101"/>
      <c r="P69" s="27"/>
    </row>
    <row r="70" spans="3:19" x14ac:dyDescent="0.2">
      <c r="C70" t="s">
        <v>6</v>
      </c>
      <c r="G70" s="25"/>
      <c r="H70" s="25"/>
      <c r="I70" s="25"/>
      <c r="J70" s="25"/>
      <c r="K70" s="25"/>
      <c r="L70" s="25"/>
      <c r="M70" s="25"/>
      <c r="N70" s="25" t="s">
        <v>168</v>
      </c>
      <c r="O70" s="25"/>
      <c r="P70" s="25"/>
    </row>
    <row r="71" spans="3:19" x14ac:dyDescent="0.2">
      <c r="C71" s="14" t="s">
        <v>56</v>
      </c>
      <c r="D71" s="14"/>
      <c r="E71" s="14"/>
      <c r="F71" s="14"/>
      <c r="G71" s="26"/>
      <c r="H71" s="26"/>
      <c r="I71" s="26"/>
      <c r="J71" s="26"/>
      <c r="K71" s="26"/>
      <c r="L71" s="26"/>
      <c r="M71" s="26"/>
      <c r="N71" s="26" t="s">
        <v>169</v>
      </c>
      <c r="O71" s="26"/>
      <c r="P71" s="26"/>
    </row>
    <row r="72" spans="3:19" x14ac:dyDescent="0.2">
      <c r="C72" t="s">
        <v>167</v>
      </c>
      <c r="G72" s="27"/>
      <c r="H72" s="27"/>
      <c r="I72" s="27">
        <v>1.0462</v>
      </c>
      <c r="J72" s="27">
        <v>1.171</v>
      </c>
      <c r="K72" s="27">
        <v>1.2298</v>
      </c>
      <c r="L72" s="27">
        <v>1.2942</v>
      </c>
      <c r="M72" s="27">
        <v>1.3097000000000001</v>
      </c>
      <c r="N72" s="27">
        <v>1.3979999999999999</v>
      </c>
      <c r="O72" s="27">
        <v>1.6072</v>
      </c>
      <c r="P72" s="27">
        <v>1.9200999999999999</v>
      </c>
      <c r="Q72">
        <v>2.2806000000000002</v>
      </c>
      <c r="R72">
        <v>2.5712000000000002</v>
      </c>
    </row>
    <row r="73" spans="3:19" x14ac:dyDescent="0.2">
      <c r="C73" t="s">
        <v>966</v>
      </c>
      <c r="G73" s="25"/>
      <c r="H73" s="25"/>
      <c r="I73" s="25">
        <f t="shared" ref="I73:J73" si="23">I72-I74-I75</f>
        <v>1.0190000000000001</v>
      </c>
      <c r="J73" s="25">
        <f t="shared" si="23"/>
        <v>1.1335</v>
      </c>
      <c r="K73" s="25">
        <f>K72-K74-K75</f>
        <v>1.1866000000000001</v>
      </c>
      <c r="L73" s="25">
        <f>L72-L74-L75</f>
        <v>1.2408000000000001</v>
      </c>
      <c r="M73" s="25">
        <f>M72-M74-M75</f>
        <v>1.2367000000000001</v>
      </c>
      <c r="N73" s="25">
        <f>N72-N74-N75</f>
        <v>1.2781</v>
      </c>
      <c r="O73" s="25">
        <f>O72-O74-O75</f>
        <v>1.3879999999999999</v>
      </c>
      <c r="P73" s="25">
        <f t="shared" ref="P73:S73" si="24">P72-P74-P75</f>
        <v>1.5325</v>
      </c>
      <c r="Q73" s="25">
        <f t="shared" si="24"/>
        <v>1.6906000000000003</v>
      </c>
      <c r="R73" s="25">
        <f t="shared" si="24"/>
        <v>1.6287</v>
      </c>
      <c r="S73" s="25">
        <f t="shared" si="24"/>
        <v>0</v>
      </c>
    </row>
    <row r="74" spans="3:19" x14ac:dyDescent="0.2">
      <c r="C74" t="s">
        <v>352</v>
      </c>
      <c r="G74" s="25"/>
      <c r="H74" s="25"/>
      <c r="I74" s="25">
        <v>1.8800000000000001E-2</v>
      </c>
      <c r="J74" s="25">
        <v>2.2200000000000001E-2</v>
      </c>
      <c r="K74" s="25">
        <v>2.7199999999999998E-2</v>
      </c>
      <c r="L74" s="25">
        <v>3.49E-2</v>
      </c>
      <c r="M74" s="25">
        <v>5.04E-2</v>
      </c>
      <c r="N74" s="25">
        <v>8.3299999999999999E-2</v>
      </c>
      <c r="O74" s="25">
        <v>0.14910000000000001</v>
      </c>
      <c r="P74" s="25">
        <v>0.29949999999999999</v>
      </c>
      <c r="Q74">
        <v>0.50049999999999994</v>
      </c>
      <c r="R74">
        <v>0.84160000000000001</v>
      </c>
    </row>
    <row r="75" spans="3:19" x14ac:dyDescent="0.2">
      <c r="C75" t="s">
        <v>351</v>
      </c>
      <c r="G75" s="25"/>
      <c r="H75" s="25"/>
      <c r="I75" s="25">
        <v>8.3999999999999995E-3</v>
      </c>
      <c r="J75" s="25">
        <v>1.5299999999999999E-2</v>
      </c>
      <c r="K75" s="25">
        <v>1.6E-2</v>
      </c>
      <c r="L75" s="25">
        <v>1.8499999999999999E-2</v>
      </c>
      <c r="M75" s="25">
        <v>2.2599999999999999E-2</v>
      </c>
      <c r="N75" s="25">
        <v>3.6600000000000001E-2</v>
      </c>
      <c r="O75" s="25">
        <v>7.0099999999999996E-2</v>
      </c>
      <c r="P75" s="25">
        <v>8.8099999999999998E-2</v>
      </c>
      <c r="Q75">
        <v>8.9499999999999996E-2</v>
      </c>
      <c r="R75" s="25">
        <v>0.1009</v>
      </c>
    </row>
    <row r="76" spans="3:19" x14ac:dyDescent="0.2">
      <c r="C76" s="14" t="s">
        <v>355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</row>
    <row r="77" spans="3:19" ht="15" x14ac:dyDescent="0.25">
      <c r="C77" s="2" t="s">
        <v>922</v>
      </c>
      <c r="D77" s="50">
        <f t="shared" ref="D77:S77" si="25">D62+D67+D68</f>
        <v>63.373999999999995</v>
      </c>
      <c r="E77" s="50">
        <f t="shared" si="25"/>
        <v>68.227000000000004</v>
      </c>
      <c r="F77" s="50">
        <f t="shared" si="25"/>
        <v>62.592999999999996</v>
      </c>
      <c r="G77" s="50">
        <f t="shared" si="25"/>
        <v>62.373000000000005</v>
      </c>
      <c r="H77" s="50">
        <f t="shared" si="25"/>
        <v>61.09</v>
      </c>
      <c r="I77" s="50">
        <f t="shared" si="25"/>
        <v>55.286999999999999</v>
      </c>
      <c r="J77" s="50">
        <f t="shared" si="25"/>
        <v>59.421000000000006</v>
      </c>
      <c r="K77" s="50">
        <f t="shared" si="25"/>
        <v>63.812000000000005</v>
      </c>
      <c r="L77" s="50">
        <f t="shared" si="25"/>
        <v>64.281999999999996</v>
      </c>
      <c r="M77" s="50">
        <f t="shared" si="25"/>
        <v>63.970999999999997</v>
      </c>
      <c r="N77" s="50">
        <f t="shared" si="25"/>
        <v>63.758000000000003</v>
      </c>
      <c r="O77" s="50">
        <f t="shared" si="25"/>
        <v>60.414999999999992</v>
      </c>
      <c r="P77" s="50">
        <f t="shared" si="25"/>
        <v>65.608000000000004</v>
      </c>
      <c r="Q77" s="50">
        <f t="shared" si="25"/>
        <v>66.179999999999993</v>
      </c>
      <c r="R77" s="50">
        <f t="shared" si="25"/>
        <v>67.278000000000006</v>
      </c>
      <c r="S77" s="50">
        <f t="shared" si="25"/>
        <v>63.660999999999994</v>
      </c>
    </row>
    <row r="78" spans="3:19" x14ac:dyDescent="0.2">
      <c r="C78" s="9" t="s">
        <v>0</v>
      </c>
      <c r="D78">
        <v>39.92</v>
      </c>
      <c r="E78">
        <v>57.963000000000001</v>
      </c>
      <c r="F78">
        <v>47.112000000000002</v>
      </c>
      <c r="G78">
        <v>42.351999999999997</v>
      </c>
      <c r="H78">
        <v>37.69</v>
      </c>
      <c r="I78">
        <v>47.084000000000003</v>
      </c>
      <c r="J78">
        <v>48.787999999999997</v>
      </c>
      <c r="K78">
        <v>48.567999999999998</v>
      </c>
      <c r="L78">
        <v>50.273000000000003</v>
      </c>
      <c r="M78">
        <v>52.002000000000002</v>
      </c>
      <c r="N78">
        <v>66.834000000000003</v>
      </c>
      <c r="O78">
        <v>83.298000000000002</v>
      </c>
      <c r="P78">
        <v>86.825000000000003</v>
      </c>
      <c r="Q78">
        <v>36.207999999999998</v>
      </c>
      <c r="R78">
        <v>37.438000000000002</v>
      </c>
      <c r="S78">
        <v>42.305999999999997</v>
      </c>
    </row>
    <row r="79" spans="3:19" x14ac:dyDescent="0.2">
      <c r="C79" s="9" t="s">
        <v>185</v>
      </c>
      <c r="D79">
        <v>46.99</v>
      </c>
      <c r="E79">
        <v>68.406999999999996</v>
      </c>
      <c r="F79">
        <v>51.62</v>
      </c>
      <c r="G79">
        <v>45.463999999999999</v>
      </c>
      <c r="H79">
        <v>38.393000000000001</v>
      </c>
      <c r="I79">
        <v>40.734000000000002</v>
      </c>
      <c r="J79">
        <v>46.085000000000001</v>
      </c>
      <c r="K79">
        <v>50.63</v>
      </c>
      <c r="L79">
        <v>51.408000000000001</v>
      </c>
      <c r="M79">
        <v>54.158999999999999</v>
      </c>
      <c r="N79">
        <v>66.313999999999993</v>
      </c>
      <c r="O79">
        <v>80.710999999999999</v>
      </c>
      <c r="P79">
        <v>89.025000000000006</v>
      </c>
      <c r="Q79">
        <v>38.603999999999999</v>
      </c>
      <c r="R79">
        <v>42.929000000000002</v>
      </c>
      <c r="S79">
        <v>43.341000000000001</v>
      </c>
    </row>
    <row r="80" spans="3:19" ht="15" x14ac:dyDescent="0.25">
      <c r="C80" s="2" t="s">
        <v>967</v>
      </c>
      <c r="D80" s="50">
        <f>D77+D78-D79</f>
        <v>56.303999999999995</v>
      </c>
      <c r="E80" s="50">
        <f t="shared" ref="E80:S80" si="26">E77+E78-E79</f>
        <v>57.783000000000001</v>
      </c>
      <c r="F80" s="50">
        <f t="shared" si="26"/>
        <v>58.085000000000001</v>
      </c>
      <c r="G80" s="50">
        <f t="shared" si="26"/>
        <v>59.260999999999996</v>
      </c>
      <c r="H80" s="50">
        <f t="shared" si="26"/>
        <v>60.387</v>
      </c>
      <c r="I80" s="50">
        <f t="shared" si="26"/>
        <v>61.637000000000008</v>
      </c>
      <c r="J80" s="50">
        <f t="shared" si="26"/>
        <v>62.124000000000002</v>
      </c>
      <c r="K80" s="50">
        <f t="shared" si="26"/>
        <v>61.749999999999993</v>
      </c>
      <c r="L80" s="50">
        <f t="shared" si="26"/>
        <v>63.147000000000006</v>
      </c>
      <c r="M80" s="50">
        <f t="shared" si="26"/>
        <v>61.814</v>
      </c>
      <c r="N80" s="50">
        <f t="shared" si="26"/>
        <v>64.27800000000002</v>
      </c>
      <c r="O80" s="50">
        <f t="shared" si="26"/>
        <v>63.001999999999995</v>
      </c>
      <c r="P80" s="50">
        <f t="shared" si="26"/>
        <v>63.407999999999987</v>
      </c>
      <c r="Q80" s="50">
        <f t="shared" si="26"/>
        <v>63.783999999999992</v>
      </c>
      <c r="R80" s="50">
        <f t="shared" si="26"/>
        <v>61.787000000000006</v>
      </c>
      <c r="S80" s="50">
        <f t="shared" si="26"/>
        <v>62.625999999999983</v>
      </c>
    </row>
    <row r="81" spans="1:19" x14ac:dyDescent="0.2">
      <c r="C81" s="14" t="s">
        <v>389</v>
      </c>
      <c r="D81" s="14">
        <v>3.931</v>
      </c>
      <c r="E81" s="14">
        <v>4.0339999999999998</v>
      </c>
      <c r="F81" s="14">
        <v>4.056</v>
      </c>
      <c r="G81" s="14">
        <v>4.1390000000000002</v>
      </c>
      <c r="H81" s="14">
        <v>4.2160000000000002</v>
      </c>
      <c r="I81" s="14">
        <v>4.3070000000000004</v>
      </c>
      <c r="J81" s="14">
        <v>4.3419999999999996</v>
      </c>
      <c r="K81" s="14">
        <v>4.3179999999999996</v>
      </c>
      <c r="L81" s="14">
        <v>4.4180000000000001</v>
      </c>
      <c r="M81" s="14">
        <v>4.32</v>
      </c>
      <c r="N81" s="26">
        <v>4.4930000000000003</v>
      </c>
      <c r="O81" s="26">
        <v>4.4029999999999996</v>
      </c>
      <c r="P81" s="26">
        <v>4.4349999999999996</v>
      </c>
      <c r="Q81" s="26">
        <v>4.4610000000000003</v>
      </c>
      <c r="R81" s="14">
        <v>4.3209999999999997</v>
      </c>
      <c r="S81" s="14">
        <v>4.38</v>
      </c>
    </row>
    <row r="82" spans="1:19" ht="15" x14ac:dyDescent="0.25">
      <c r="C82" s="2" t="s">
        <v>968</v>
      </c>
      <c r="D82" s="50">
        <f t="shared" ref="D82:M82" si="27">D77-D81+D78-D79</f>
        <v>52.372999999999998</v>
      </c>
      <c r="E82" s="50">
        <f t="shared" si="27"/>
        <v>53.749000000000009</v>
      </c>
      <c r="F82" s="50">
        <f t="shared" si="27"/>
        <v>54.029000000000003</v>
      </c>
      <c r="G82" s="50">
        <f t="shared" si="27"/>
        <v>55.122</v>
      </c>
      <c r="H82" s="50">
        <f t="shared" si="27"/>
        <v>56.170999999999992</v>
      </c>
      <c r="I82" s="50">
        <f t="shared" si="27"/>
        <v>57.329999999999991</v>
      </c>
      <c r="J82" s="50">
        <f t="shared" si="27"/>
        <v>57.782000000000004</v>
      </c>
      <c r="K82" s="50">
        <f t="shared" si="27"/>
        <v>57.432000000000009</v>
      </c>
      <c r="L82" s="50">
        <f t="shared" si="27"/>
        <v>58.728999999999999</v>
      </c>
      <c r="M82" s="50">
        <f t="shared" si="27"/>
        <v>57.493999999999993</v>
      </c>
      <c r="N82" s="50">
        <f>N77-N81+N78-N79</f>
        <v>59.785000000000011</v>
      </c>
      <c r="O82" s="50">
        <f>O77-O81+O78-O79</f>
        <v>58.599000000000004</v>
      </c>
      <c r="P82" s="50">
        <f>P77-P81+P78-P79</f>
        <v>58.972999999999985</v>
      </c>
      <c r="Q82" s="50">
        <f t="shared" ref="Q82:S82" si="28">Q77-Q81+Q78-Q79</f>
        <v>59.322999999999993</v>
      </c>
      <c r="R82" s="50">
        <f t="shared" si="28"/>
        <v>57.466000000000008</v>
      </c>
      <c r="S82" s="50">
        <f t="shared" si="28"/>
        <v>58.245999999999988</v>
      </c>
    </row>
    <row r="84" spans="1:19" ht="15" x14ac:dyDescent="0.25">
      <c r="B84" s="2"/>
      <c r="Q84" s="25"/>
    </row>
    <row r="85" spans="1:19" x14ac:dyDescent="0.2"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9" x14ac:dyDescent="0.2"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9" x14ac:dyDescent="0.2"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9" ht="27" x14ac:dyDescent="0.35">
      <c r="A88" s="3" t="s">
        <v>914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9" x14ac:dyDescent="0.2"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9" ht="15" x14ac:dyDescent="0.25">
      <c r="B90" s="2" t="s">
        <v>918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9" ht="15" x14ac:dyDescent="0.25">
      <c r="B91" s="13" t="s">
        <v>128</v>
      </c>
      <c r="D91" s="2" t="s">
        <v>950</v>
      </c>
      <c r="E91" s="2">
        <v>2010</v>
      </c>
      <c r="F91" s="2">
        <v>2015</v>
      </c>
      <c r="G91" s="2">
        <v>2020</v>
      </c>
      <c r="H91" s="2">
        <v>2025</v>
      </c>
      <c r="I91" s="2">
        <v>2030</v>
      </c>
      <c r="J91" s="2">
        <v>2035</v>
      </c>
      <c r="K91" s="2">
        <v>2040</v>
      </c>
      <c r="L91" s="2">
        <v>2045</v>
      </c>
      <c r="M91" s="2">
        <v>2050</v>
      </c>
      <c r="N91" s="25"/>
      <c r="O91" s="25"/>
      <c r="P91" s="25"/>
    </row>
    <row r="92" spans="1:19" x14ac:dyDescent="0.2">
      <c r="C92" t="s">
        <v>1366</v>
      </c>
      <c r="D92" s="4"/>
      <c r="E92" s="4">
        <f>N80</f>
        <v>64.27800000000002</v>
      </c>
      <c r="F92" s="4">
        <f t="shared" ref="F92:H92" si="29">F616</f>
        <v>68</v>
      </c>
      <c r="G92" s="4">
        <f t="shared" si="29"/>
        <v>73</v>
      </c>
      <c r="H92" s="4">
        <f t="shared" si="29"/>
        <v>76</v>
      </c>
      <c r="I92" s="4">
        <f t="shared" ref="I92:M92" si="30">I616</f>
        <v>79</v>
      </c>
      <c r="J92" s="4">
        <f t="shared" si="30"/>
        <v>82</v>
      </c>
      <c r="K92" s="4">
        <f t="shared" si="30"/>
        <v>85.333333333333329</v>
      </c>
      <c r="L92" s="4">
        <f t="shared" si="30"/>
        <v>88.666666666666657</v>
      </c>
      <c r="M92" s="4">
        <f t="shared" si="30"/>
        <v>92</v>
      </c>
      <c r="N92" s="25"/>
      <c r="O92" s="25"/>
      <c r="P92" s="25"/>
    </row>
    <row r="93" spans="1:19" x14ac:dyDescent="0.2">
      <c r="C93" t="s">
        <v>1355</v>
      </c>
      <c r="D93" s="4"/>
      <c r="E93" s="4">
        <f>E92</f>
        <v>64.27800000000002</v>
      </c>
      <c r="F93" s="4">
        <f t="shared" ref="F93:H93" si="31">F620</f>
        <v>66.5</v>
      </c>
      <c r="G93" s="4">
        <f t="shared" si="31"/>
        <v>70</v>
      </c>
      <c r="H93" s="4">
        <f t="shared" si="31"/>
        <v>71.666666666666657</v>
      </c>
      <c r="I93" s="4">
        <f t="shared" ref="I93:M93" si="32">I620</f>
        <v>73.333333333333329</v>
      </c>
      <c r="J93" s="4">
        <f t="shared" si="32"/>
        <v>75</v>
      </c>
      <c r="K93" s="4">
        <f t="shared" si="32"/>
        <v>76.333333333333329</v>
      </c>
      <c r="L93" s="4">
        <f t="shared" si="32"/>
        <v>77.666666666666657</v>
      </c>
      <c r="M93" s="4">
        <f t="shared" si="32"/>
        <v>79</v>
      </c>
      <c r="N93" s="25"/>
      <c r="O93" s="25"/>
      <c r="P93" s="25"/>
    </row>
    <row r="94" spans="1:19" x14ac:dyDescent="0.2">
      <c r="C94" t="s">
        <v>1367</v>
      </c>
      <c r="D94" s="4"/>
      <c r="E94" s="4">
        <f t="shared" ref="E94:E97" si="33">E93</f>
        <v>64.27800000000002</v>
      </c>
      <c r="F94" s="4">
        <f t="shared" ref="F94:H94" si="34">F624</f>
        <v>65</v>
      </c>
      <c r="G94" s="4">
        <f t="shared" si="34"/>
        <v>67</v>
      </c>
      <c r="H94" s="4">
        <f t="shared" si="34"/>
        <v>66.666666666666657</v>
      </c>
      <c r="I94" s="4">
        <f t="shared" ref="I94:M94" si="35">I624</f>
        <v>66.333333333333329</v>
      </c>
      <c r="J94" s="4">
        <f t="shared" si="35"/>
        <v>66</v>
      </c>
      <c r="K94" s="4">
        <f t="shared" si="35"/>
        <v>66</v>
      </c>
      <c r="L94" s="4">
        <f t="shared" si="35"/>
        <v>66</v>
      </c>
      <c r="M94" s="4">
        <f t="shared" si="35"/>
        <v>66</v>
      </c>
      <c r="N94" s="25"/>
      <c r="O94" s="25"/>
      <c r="P94" s="25"/>
    </row>
    <row r="95" spans="1:19" x14ac:dyDescent="0.2">
      <c r="C95" t="s">
        <v>926</v>
      </c>
      <c r="D95" s="4"/>
      <c r="E95" s="4">
        <f t="shared" si="33"/>
        <v>64.27800000000002</v>
      </c>
      <c r="F95" s="4">
        <f t="shared" ref="F95:M95" si="36">F737</f>
        <v>67.099999999999994</v>
      </c>
      <c r="G95" s="4">
        <f t="shared" si="36"/>
        <v>69.7</v>
      </c>
      <c r="H95" s="4">
        <f t="shared" si="36"/>
        <v>72.099999999999994</v>
      </c>
      <c r="I95" s="4">
        <f t="shared" si="36"/>
        <v>74.2</v>
      </c>
      <c r="J95" s="4">
        <f t="shared" si="36"/>
        <v>76.2</v>
      </c>
      <c r="K95" s="4">
        <f t="shared" si="36"/>
        <v>78</v>
      </c>
      <c r="L95" s="4">
        <f t="shared" si="36"/>
        <v>79.599999999999994</v>
      </c>
      <c r="M95" s="4">
        <f t="shared" si="36"/>
        <v>81</v>
      </c>
      <c r="N95" s="25"/>
      <c r="O95" s="25"/>
      <c r="P95" s="25"/>
    </row>
    <row r="96" spans="1:19" x14ac:dyDescent="0.2">
      <c r="C96" t="s">
        <v>927</v>
      </c>
      <c r="D96" s="4"/>
      <c r="E96" s="4">
        <f t="shared" si="33"/>
        <v>64.27800000000002</v>
      </c>
      <c r="F96" s="4">
        <f t="shared" ref="F96:M97" si="37">F738</f>
        <v>67.2</v>
      </c>
      <c r="G96" s="4">
        <f t="shared" si="37"/>
        <v>69.400000000000006</v>
      </c>
      <c r="H96" s="4">
        <f t="shared" si="37"/>
        <v>71</v>
      </c>
      <c r="I96" s="4">
        <f t="shared" si="37"/>
        <v>72.099999999999994</v>
      </c>
      <c r="J96" s="4">
        <f t="shared" si="37"/>
        <v>72.8</v>
      </c>
      <c r="K96" s="4">
        <f t="shared" si="37"/>
        <v>73.3</v>
      </c>
      <c r="L96" s="4">
        <f t="shared" si="37"/>
        <v>73.3</v>
      </c>
      <c r="M96" s="4">
        <f t="shared" si="37"/>
        <v>73</v>
      </c>
      <c r="N96" s="25"/>
      <c r="O96" s="25"/>
      <c r="P96" s="25"/>
    </row>
    <row r="97" spans="3:35" x14ac:dyDescent="0.2">
      <c r="C97" t="s">
        <v>928</v>
      </c>
      <c r="D97" s="4"/>
      <c r="E97" s="4">
        <f t="shared" si="33"/>
        <v>64.27800000000002</v>
      </c>
      <c r="F97" s="4">
        <f t="shared" si="37"/>
        <v>67</v>
      </c>
      <c r="G97" s="4">
        <f t="shared" si="37"/>
        <v>68.7</v>
      </c>
      <c r="H97" s="4">
        <f t="shared" si="37"/>
        <v>69.400000000000006</v>
      </c>
      <c r="I97" s="4">
        <f t="shared" si="37"/>
        <v>69.2</v>
      </c>
      <c r="J97" s="4">
        <f t="shared" si="37"/>
        <v>68.2</v>
      </c>
      <c r="K97" s="4">
        <f t="shared" si="37"/>
        <v>66.599999999999994</v>
      </c>
      <c r="L97" s="4">
        <f t="shared" si="37"/>
        <v>63.9</v>
      </c>
      <c r="M97" s="4">
        <f t="shared" si="37"/>
        <v>60.5</v>
      </c>
      <c r="N97" s="25"/>
      <c r="O97" s="25"/>
      <c r="P97" s="25"/>
    </row>
    <row r="98" spans="3:35" x14ac:dyDescent="0.2">
      <c r="C98" t="s">
        <v>929</v>
      </c>
      <c r="D98" s="4">
        <f>AVERAGE(F80:L80)</f>
        <v>60.913000000000004</v>
      </c>
      <c r="E98" s="90">
        <f>E1576</f>
        <v>63.599999999999994</v>
      </c>
      <c r="F98" s="90">
        <f t="shared" ref="F98:M98" si="38">F1576</f>
        <v>65.329999999999984</v>
      </c>
      <c r="G98" s="90">
        <f t="shared" si="38"/>
        <v>66.97</v>
      </c>
      <c r="H98" s="90">
        <f t="shared" si="38"/>
        <v>67.83</v>
      </c>
      <c r="I98" s="90">
        <f t="shared" si="38"/>
        <v>68.820000000000007</v>
      </c>
      <c r="J98" s="90">
        <f t="shared" si="38"/>
        <v>70.009999999999977</v>
      </c>
      <c r="K98" s="90">
        <f t="shared" si="38"/>
        <v>71.55</v>
      </c>
      <c r="L98" s="90">
        <f t="shared" si="38"/>
        <v>73.179999999999993</v>
      </c>
      <c r="M98" s="90">
        <f t="shared" si="38"/>
        <v>74.789999999999992</v>
      </c>
      <c r="N98" s="25"/>
      <c r="O98" s="25"/>
      <c r="P98" s="25"/>
    </row>
    <row r="99" spans="3:35" x14ac:dyDescent="0.2">
      <c r="C99" t="s">
        <v>930</v>
      </c>
      <c r="D99" s="4"/>
      <c r="E99" s="90">
        <f>E1804</f>
        <v>63.599999999999994</v>
      </c>
      <c r="F99" s="90">
        <f t="shared" ref="F99:M99" si="39">F1804</f>
        <v>64.549999999999983</v>
      </c>
      <c r="G99" s="90">
        <f t="shared" si="39"/>
        <v>63.8</v>
      </c>
      <c r="H99" s="90">
        <f t="shared" si="39"/>
        <v>62.09</v>
      </c>
      <c r="I99" s="90">
        <f t="shared" si="39"/>
        <v>60.720000000000006</v>
      </c>
      <c r="J99" s="90">
        <f t="shared" si="39"/>
        <v>59.91</v>
      </c>
      <c r="K99" s="90">
        <f t="shared" si="39"/>
        <v>59.220000000000006</v>
      </c>
      <c r="L99" s="90">
        <f t="shared" si="39"/>
        <v>58.45000000000001</v>
      </c>
      <c r="M99" s="90">
        <f t="shared" si="39"/>
        <v>57.559999999999995</v>
      </c>
      <c r="N99" s="25"/>
      <c r="O99" s="25"/>
      <c r="P99" s="25"/>
    </row>
    <row r="100" spans="3:35" x14ac:dyDescent="0.2">
      <c r="C100" t="s">
        <v>931</v>
      </c>
      <c r="D100" s="4"/>
      <c r="E100" s="90">
        <f>E2146</f>
        <v>63.599999999999994</v>
      </c>
      <c r="F100" s="90">
        <f t="shared" ref="F100:M100" si="40">F2146</f>
        <v>65.079999999999984</v>
      </c>
      <c r="G100" s="90">
        <f t="shared" si="40"/>
        <v>64</v>
      </c>
      <c r="H100" s="90">
        <f t="shared" si="40"/>
        <v>63.030000000000008</v>
      </c>
      <c r="I100" s="90">
        <f t="shared" si="40"/>
        <v>62.690000000000012</v>
      </c>
      <c r="J100" s="90">
        <f t="shared" si="40"/>
        <v>62.97</v>
      </c>
      <c r="K100" s="90">
        <f t="shared" si="40"/>
        <v>63.93</v>
      </c>
      <c r="L100" s="90">
        <f t="shared" si="40"/>
        <v>64.94</v>
      </c>
      <c r="M100" s="90">
        <f t="shared" si="40"/>
        <v>65.949999999999989</v>
      </c>
      <c r="N100" s="25"/>
      <c r="O100" s="25"/>
      <c r="P100" s="25"/>
    </row>
    <row r="101" spans="3:35" x14ac:dyDescent="0.2">
      <c r="C101" t="s">
        <v>916</v>
      </c>
      <c r="D101" s="4"/>
      <c r="E101" s="4">
        <f t="shared" ref="E101:M101" si="41">E1076+E1129-$N65</f>
        <v>63.750444444444454</v>
      </c>
      <c r="F101" s="4">
        <f t="shared" si="41"/>
        <v>63.950444444444457</v>
      </c>
      <c r="G101" s="4">
        <f t="shared" si="41"/>
        <v>64.394888888888886</v>
      </c>
      <c r="H101" s="4">
        <f t="shared" si="41"/>
        <v>64.117111111111114</v>
      </c>
      <c r="I101" s="4">
        <f t="shared" si="41"/>
        <v>63.839333333333343</v>
      </c>
      <c r="J101" s="4">
        <f t="shared" si="41"/>
        <v>64.394888888888886</v>
      </c>
      <c r="K101" s="4">
        <f t="shared" si="41"/>
        <v>64.950444444444457</v>
      </c>
      <c r="L101" s="4">
        <f t="shared" si="41"/>
        <v>65.089333333333343</v>
      </c>
      <c r="M101" s="4">
        <f t="shared" si="41"/>
        <v>65.228222222222229</v>
      </c>
      <c r="N101" s="25"/>
      <c r="O101" s="25"/>
      <c r="P101" s="25"/>
    </row>
    <row r="102" spans="3:35" x14ac:dyDescent="0.2">
      <c r="C102" t="s">
        <v>917</v>
      </c>
      <c r="D102" s="4"/>
      <c r="E102" s="4">
        <f>E92</f>
        <v>64.27800000000002</v>
      </c>
      <c r="F102" s="4">
        <f t="shared" ref="F102:M102" si="42">F995</f>
        <v>63</v>
      </c>
      <c r="G102" s="4">
        <f t="shared" si="42"/>
        <v>66</v>
      </c>
      <c r="H102" s="4">
        <f t="shared" si="42"/>
        <v>69</v>
      </c>
      <c r="I102" s="4">
        <f t="shared" si="42"/>
        <v>72</v>
      </c>
      <c r="J102" s="4">
        <f t="shared" si="42"/>
        <v>72</v>
      </c>
      <c r="K102" s="4">
        <f t="shared" si="42"/>
        <v>72</v>
      </c>
      <c r="L102" s="4">
        <f t="shared" si="42"/>
        <v>71</v>
      </c>
      <c r="M102" s="4">
        <f t="shared" si="42"/>
        <v>70</v>
      </c>
      <c r="N102" s="25"/>
      <c r="O102" s="25"/>
      <c r="P102" s="25"/>
    </row>
    <row r="103" spans="3:35" x14ac:dyDescent="0.2">
      <c r="C103" t="s">
        <v>932</v>
      </c>
      <c r="D103" s="4"/>
      <c r="E103" s="4"/>
      <c r="M103" s="4">
        <f>M2610-M2611</f>
        <v>78.259999999999991</v>
      </c>
      <c r="N103" s="25"/>
      <c r="O103" s="25"/>
      <c r="P103" s="25"/>
    </row>
    <row r="104" spans="3:35" x14ac:dyDescent="0.2">
      <c r="C104" t="s">
        <v>933</v>
      </c>
      <c r="D104" s="4"/>
      <c r="E104" s="4"/>
      <c r="M104" s="4">
        <f>M2547-M2548</f>
        <v>60.53</v>
      </c>
      <c r="N104" s="25"/>
      <c r="O104" s="25"/>
      <c r="P104" s="25"/>
    </row>
    <row r="105" spans="3:35" x14ac:dyDescent="0.2">
      <c r="C105" t="s">
        <v>1247</v>
      </c>
      <c r="D105" s="4"/>
      <c r="E105" s="4"/>
      <c r="M105" s="4">
        <f>M2673-M2674</f>
        <v>63.659999999999989</v>
      </c>
      <c r="N105" s="25"/>
      <c r="O105" s="25"/>
      <c r="P105" s="25"/>
    </row>
    <row r="106" spans="3:35" x14ac:dyDescent="0.2">
      <c r="C106" t="s">
        <v>1368</v>
      </c>
      <c r="D106" s="4"/>
      <c r="E106" s="4">
        <f t="shared" ref="E106:M106" si="43">SUM(E3110:E3117)</f>
        <v>61.731499999999983</v>
      </c>
      <c r="F106" s="4">
        <f t="shared" si="43"/>
        <v>64.168888888888873</v>
      </c>
      <c r="G106" s="4">
        <f t="shared" si="43"/>
        <v>66.65647222222222</v>
      </c>
      <c r="H106" s="4">
        <f t="shared" si="43"/>
        <v>67.770499999999998</v>
      </c>
      <c r="I106" s="4">
        <f t="shared" si="43"/>
        <v>72.303166666666669</v>
      </c>
      <c r="J106" s="4">
        <f t="shared" si="43"/>
        <v>76.913694444444431</v>
      </c>
      <c r="K106" s="4">
        <f t="shared" si="43"/>
        <v>79.509000000000015</v>
      </c>
      <c r="L106" s="4">
        <f t="shared" si="43"/>
        <v>82.310416666666669</v>
      </c>
      <c r="M106" s="4">
        <f t="shared" si="43"/>
        <v>84.504055555555553</v>
      </c>
      <c r="N106" s="25"/>
      <c r="O106" s="25"/>
      <c r="P106" s="25"/>
    </row>
    <row r="107" spans="3:35" x14ac:dyDescent="0.2">
      <c r="C107" t="s">
        <v>1369</v>
      </c>
      <c r="D107" s="4"/>
      <c r="E107" s="4">
        <f t="shared" ref="E107:M107" si="44">SUM(E3133:E3140)</f>
        <v>61.731444444444435</v>
      </c>
      <c r="F107" s="4">
        <f t="shared" si="44"/>
        <v>65.200638888888875</v>
      </c>
      <c r="G107" s="4">
        <f t="shared" si="44"/>
        <v>66.219638888888881</v>
      </c>
      <c r="H107" s="4">
        <f t="shared" si="44"/>
        <v>65.824472222222212</v>
      </c>
      <c r="I107" s="4">
        <f t="shared" si="44"/>
        <v>69.988916666666654</v>
      </c>
      <c r="J107" s="4">
        <f t="shared" si="44"/>
        <v>72.209750000000014</v>
      </c>
      <c r="K107" s="4">
        <f t="shared" si="44"/>
        <v>74.158166666666659</v>
      </c>
      <c r="L107" s="4">
        <f t="shared" si="44"/>
        <v>75.461888888888879</v>
      </c>
      <c r="M107" s="4">
        <f t="shared" si="44"/>
        <v>76.410499999999985</v>
      </c>
      <c r="N107" s="25"/>
      <c r="O107" s="25"/>
      <c r="P107" s="25"/>
    </row>
    <row r="108" spans="3:35" x14ac:dyDescent="0.2">
      <c r="C108" t="s">
        <v>962</v>
      </c>
      <c r="D108" s="4"/>
      <c r="E108" s="4"/>
      <c r="F108" s="4">
        <f>AVERAGE(F92:F107)</f>
        <v>65.544613247863239</v>
      </c>
      <c r="G108" s="4">
        <f t="shared" ref="G108:M108" si="45">AVERAGE(G92:G107)</f>
        <v>67.372384615384604</v>
      </c>
      <c r="H108" s="4">
        <f t="shared" si="45"/>
        <v>68.191955128205109</v>
      </c>
      <c r="I108" s="4">
        <f t="shared" si="45"/>
        <v>69.57908333333333</v>
      </c>
      <c r="J108" s="4">
        <f t="shared" si="45"/>
        <v>70.662179487179486</v>
      </c>
      <c r="K108" s="4">
        <f t="shared" si="45"/>
        <v>71.606482905982901</v>
      </c>
      <c r="L108" s="4">
        <f t="shared" si="45"/>
        <v>72.274228632478639</v>
      </c>
      <c r="M108" s="4">
        <f t="shared" si="45"/>
        <v>71.774548611111101</v>
      </c>
      <c r="N108" s="25"/>
      <c r="O108" s="25"/>
      <c r="P108" s="25"/>
    </row>
    <row r="109" spans="3:35" x14ac:dyDescent="0.2"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3:35" x14ac:dyDescent="0.2">
      <c r="C110" s="25" t="s">
        <v>953</v>
      </c>
      <c r="D110" t="s">
        <v>954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3:35" ht="15" x14ac:dyDescent="0.25">
      <c r="D111" t="s">
        <v>951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AI111" s="2"/>
    </row>
    <row r="112" spans="3:35" x14ac:dyDescent="0.2"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2:75" x14ac:dyDescent="0.2">
      <c r="B113" s="99" t="s">
        <v>949</v>
      </c>
      <c r="C113" s="14"/>
      <c r="D113" s="14"/>
      <c r="E113" s="14"/>
      <c r="F113" s="14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2:75" x14ac:dyDescent="0.2">
      <c r="G114" s="25"/>
      <c r="H114" s="100"/>
      <c r="I114" s="100" t="s">
        <v>965</v>
      </c>
      <c r="J114" s="25"/>
      <c r="K114" s="25"/>
      <c r="L114" s="25"/>
      <c r="M114" s="25"/>
      <c r="N114" s="25"/>
      <c r="O114" s="25"/>
      <c r="P114" s="25"/>
      <c r="X114" s="13" t="str">
        <f t="shared" ref="X114:AF114" ca="1" si="46">RIGHT(OFFSET($B$2816,X115,0), 12)</f>
        <v>ion, WWB+Gas</v>
      </c>
      <c r="Y114" s="13" t="str">
        <f t="shared" ca="1" si="46"/>
        <v>, WWB+Import</v>
      </c>
      <c r="Z114" s="13" t="str">
        <f t="shared" ca="1" si="46"/>
        <v xml:space="preserve"> WWB+Nuclear</v>
      </c>
      <c r="AA114" s="13" t="str">
        <f t="shared" ca="1" si="46"/>
        <v>ion, POM+Gas</v>
      </c>
      <c r="AB114" s="13" t="str">
        <f t="shared" ca="1" si="46"/>
        <v>, POM+Import</v>
      </c>
      <c r="AC114" s="13" t="str">
        <f t="shared" ca="1" si="46"/>
        <v xml:space="preserve"> POM+Nuclear</v>
      </c>
      <c r="AD114" s="13" t="str">
        <f t="shared" ca="1" si="46"/>
        <v>ion, NEP+Gas</v>
      </c>
      <c r="AE114" s="13" t="str">
        <f t="shared" ca="1" si="46"/>
        <v>, NEP+Import</v>
      </c>
      <c r="AF114" s="13" t="str">
        <f t="shared" ca="1" si="46"/>
        <v xml:space="preserve"> NEP+Nuclear</v>
      </c>
    </row>
    <row r="115" spans="2:75" ht="15" x14ac:dyDescent="0.25">
      <c r="B115" s="2" t="s">
        <v>969</v>
      </c>
      <c r="I115" s="13">
        <v>0</v>
      </c>
      <c r="J115" s="13">
        <v>114</v>
      </c>
      <c r="K115" s="13">
        <v>228</v>
      </c>
      <c r="L115" s="13">
        <v>342</v>
      </c>
      <c r="M115" s="13">
        <v>456</v>
      </c>
      <c r="N115" s="13">
        <v>570</v>
      </c>
      <c r="O115" s="13">
        <v>684</v>
      </c>
      <c r="P115" s="13">
        <v>798</v>
      </c>
      <c r="X115" s="13">
        <v>0</v>
      </c>
      <c r="Y115">
        <v>22</v>
      </c>
      <c r="Z115">
        <v>44</v>
      </c>
      <c r="AA115">
        <v>66</v>
      </c>
      <c r="AB115">
        <v>132</v>
      </c>
      <c r="AC115">
        <v>154</v>
      </c>
      <c r="AD115">
        <v>176</v>
      </c>
      <c r="AE115">
        <v>198</v>
      </c>
      <c r="AF115">
        <v>220</v>
      </c>
    </row>
    <row r="116" spans="2:75" ht="15" x14ac:dyDescent="0.25">
      <c r="B116" s="13" t="s">
        <v>128</v>
      </c>
      <c r="D116" s="2">
        <v>2014</v>
      </c>
      <c r="E116" s="2" t="s">
        <v>1355</v>
      </c>
      <c r="F116" s="2" t="s">
        <v>938</v>
      </c>
      <c r="G116" s="2" t="s">
        <v>939</v>
      </c>
      <c r="H116" s="2" t="s">
        <v>940</v>
      </c>
      <c r="I116" s="50" t="s">
        <v>1228</v>
      </c>
      <c r="J116" s="50" t="s">
        <v>942</v>
      </c>
      <c r="K116" s="50" t="s">
        <v>1365</v>
      </c>
      <c r="L116" s="50" t="s">
        <v>944</v>
      </c>
      <c r="M116" s="50" t="s">
        <v>1364</v>
      </c>
      <c r="N116" s="50" t="s">
        <v>1230</v>
      </c>
      <c r="O116" s="50" t="s">
        <v>947</v>
      </c>
      <c r="P116" s="50" t="s">
        <v>1231</v>
      </c>
      <c r="Q116" s="50" t="s">
        <v>917</v>
      </c>
      <c r="R116" s="50" t="s">
        <v>916</v>
      </c>
      <c r="S116" s="50" t="s">
        <v>988</v>
      </c>
      <c r="T116" s="50" t="s">
        <v>989</v>
      </c>
      <c r="U116" s="50" t="s">
        <v>1223</v>
      </c>
      <c r="V116" s="50" t="s">
        <v>1356</v>
      </c>
      <c r="W116" s="50" t="s">
        <v>1357</v>
      </c>
      <c r="X116" s="50" t="s">
        <v>1346</v>
      </c>
      <c r="Y116" s="50" t="s">
        <v>1358</v>
      </c>
      <c r="Z116" s="50" t="s">
        <v>1359</v>
      </c>
      <c r="AA116" s="50" t="s">
        <v>1352</v>
      </c>
      <c r="AB116" s="50" t="s">
        <v>1360</v>
      </c>
      <c r="AC116" s="50" t="s">
        <v>1361</v>
      </c>
      <c r="AD116" s="50" t="s">
        <v>1349</v>
      </c>
      <c r="AE116" s="50" t="s">
        <v>1362</v>
      </c>
      <c r="AF116" s="50" t="s">
        <v>1363</v>
      </c>
      <c r="AG116" s="50"/>
      <c r="AU116">
        <f t="shared" ref="AU116:BK128" si="47">D116</f>
        <v>2014</v>
      </c>
      <c r="AV116" s="160" t="str">
        <f t="shared" si="47"/>
        <v>ETH/ESC, mittel</v>
      </c>
      <c r="AW116" s="160" t="str">
        <f t="shared" si="47"/>
        <v>VSE, Szen.1</v>
      </c>
      <c r="AX116" s="160" t="str">
        <f t="shared" si="47"/>
        <v>VSE, Szen.2</v>
      </c>
      <c r="AY116" s="160" t="str">
        <f t="shared" si="47"/>
        <v>VSE, Szen.3</v>
      </c>
      <c r="AZ116" s="160" t="str">
        <f t="shared" si="47"/>
        <v xml:space="preserve">BFE, WWB+C    </v>
      </c>
      <c r="BA116" s="160" t="str">
        <f t="shared" ref="BA116:BA128" si="48">N116</f>
        <v xml:space="preserve">BFE, POM+C    </v>
      </c>
      <c r="BB116" s="160" t="str">
        <f t="shared" si="47"/>
        <v xml:space="preserve">BFE, NEP+C     </v>
      </c>
      <c r="BC116" s="160" t="str">
        <f t="shared" ref="BC116:BC128" si="49">P116</f>
        <v xml:space="preserve">BFE, POM+E    </v>
      </c>
      <c r="BD116" s="160" t="str">
        <f t="shared" ref="BD116:BD128" si="50">M116</f>
        <v xml:space="preserve">BFE, NEP+E     </v>
      </c>
      <c r="BE116" s="160" t="str">
        <f t="shared" ref="BE116:BE128" si="51">J116</f>
        <v>BFE, WWB+C+E</v>
      </c>
      <c r="BF116" s="160" t="str">
        <f t="shared" si="47"/>
        <v>BFE, POM+C+E</v>
      </c>
      <c r="BG116" s="160" t="str">
        <f t="shared" ref="BG116:BG128" si="52">L116</f>
        <v>BFE, NEP+C+E</v>
      </c>
      <c r="BH116" s="160" t="str">
        <f t="shared" si="47"/>
        <v>Cleantech</v>
      </c>
      <c r="BI116" s="160" t="str">
        <f t="shared" si="47"/>
        <v>Greenpeace</v>
      </c>
      <c r="BJ116" s="160" t="str">
        <f t="shared" si="47"/>
        <v>SCS, WWB+C+E</v>
      </c>
      <c r="BK116" s="160" t="str">
        <f t="shared" si="47"/>
        <v>SCS, NEP+E</v>
      </c>
      <c r="BL116" s="160" t="str">
        <f>U116</f>
        <v>SCS, Nucl</v>
      </c>
      <c r="BM116" s="160" t="str">
        <f t="shared" ref="BM116:BM128" si="53">V116</f>
        <v>PSI-sys, noClimPol</v>
      </c>
      <c r="BN116" s="160" t="str">
        <f t="shared" ref="BN116:BN128" si="54">W116</f>
        <v>PSI-sys, -50% CO2</v>
      </c>
      <c r="BO116" s="160" t="str">
        <f t="shared" ref="BO116:BO128" si="55">X116</f>
        <v>PSI-elc, WWB+Gas</v>
      </c>
      <c r="BP116" s="160" t="str">
        <f t="shared" ref="BP116:BP128" si="56">AA116</f>
        <v>PSI-elc, POM+Gas</v>
      </c>
      <c r="BQ116" s="160" t="str">
        <f t="shared" ref="BQ116:BQ128" si="57">AD116</f>
        <v>PSI-elc, NEP+Gas</v>
      </c>
      <c r="BR116" s="160" t="str">
        <f t="shared" ref="BR116:BR128" si="58">Y116</f>
        <v>PSI-elc, WWB+Imp</v>
      </c>
      <c r="BS116" s="160" t="str">
        <f>AB116</f>
        <v>PSI-elc, POM+Imp</v>
      </c>
      <c r="BT116" s="160" t="str">
        <f t="shared" ref="BT116:BT128" si="59">AE116</f>
        <v>PSI-elc, NEP+Imp</v>
      </c>
      <c r="BU116" s="160" t="str">
        <f t="shared" ref="BU116:BU128" si="60">Z116</f>
        <v>PSI-elc, WWB+Nuc</v>
      </c>
      <c r="BV116" s="160" t="str">
        <f t="shared" ref="BV116:BV128" si="61">AC116</f>
        <v>PSI-elc, POM+Nuc</v>
      </c>
      <c r="BW116" s="160" t="str">
        <f>AF116</f>
        <v>PSI-elc, NEP+Nuc</v>
      </c>
    </row>
    <row r="117" spans="2:75" x14ac:dyDescent="0.2">
      <c r="C117" t="s">
        <v>934</v>
      </c>
      <c r="E117" s="1">
        <f>M689</f>
        <v>39</v>
      </c>
      <c r="F117" s="1"/>
      <c r="G117" s="1"/>
      <c r="H117" s="1"/>
      <c r="I117" s="1">
        <f t="shared" ref="I117:P117" ca="1" si="62">OFFSET($M$1546,I115,0)+OFFSET($M$1567,I115,0)</f>
        <v>34.04</v>
      </c>
      <c r="J117" s="1">
        <f t="shared" ca="1" si="62"/>
        <v>36.61</v>
      </c>
      <c r="K117" s="1">
        <f t="shared" ca="1" si="62"/>
        <v>34.04</v>
      </c>
      <c r="L117" s="1">
        <f t="shared" ca="1" si="62"/>
        <v>36.61</v>
      </c>
      <c r="M117" s="1">
        <f t="shared" ca="1" si="62"/>
        <v>36.61</v>
      </c>
      <c r="N117" s="1">
        <f t="shared" ca="1" si="62"/>
        <v>34.04</v>
      </c>
      <c r="O117" s="1">
        <f t="shared" ca="1" si="62"/>
        <v>36.61</v>
      </c>
      <c r="P117" s="1">
        <f t="shared" ca="1" si="62"/>
        <v>36.61</v>
      </c>
      <c r="Q117" s="1">
        <f>M1019+M1020</f>
        <v>33.72</v>
      </c>
      <c r="R117" s="1">
        <f>M1124-N65</f>
        <v>34.506</v>
      </c>
      <c r="V117" s="1">
        <f>M3111</f>
        <v>36.061527777777783</v>
      </c>
      <c r="W117" s="1">
        <f>M3134</f>
        <v>38.112777777777772</v>
      </c>
      <c r="AT117" t="str">
        <f t="shared" ref="AT117:AT128" si="63">C117</f>
        <v>Hydro</v>
      </c>
      <c r="AU117">
        <f t="shared" si="47"/>
        <v>0</v>
      </c>
      <c r="AV117">
        <f t="shared" si="47"/>
        <v>39</v>
      </c>
      <c r="AW117">
        <f t="shared" si="47"/>
        <v>0</v>
      </c>
      <c r="AX117">
        <f t="shared" si="47"/>
        <v>0</v>
      </c>
      <c r="AY117">
        <f t="shared" si="47"/>
        <v>0</v>
      </c>
      <c r="AZ117">
        <f t="shared" ca="1" si="47"/>
        <v>34.04</v>
      </c>
      <c r="BA117">
        <f t="shared" ca="1" si="48"/>
        <v>34.04</v>
      </c>
      <c r="BB117">
        <f t="shared" ca="1" si="47"/>
        <v>34.04</v>
      </c>
      <c r="BC117">
        <f t="shared" ca="1" si="49"/>
        <v>36.61</v>
      </c>
      <c r="BD117">
        <f t="shared" ca="1" si="50"/>
        <v>36.61</v>
      </c>
      <c r="BE117">
        <f t="shared" ca="1" si="51"/>
        <v>36.61</v>
      </c>
      <c r="BF117">
        <f t="shared" ca="1" si="47"/>
        <v>36.61</v>
      </c>
      <c r="BG117">
        <f t="shared" ca="1" si="52"/>
        <v>36.61</v>
      </c>
      <c r="BH117">
        <f t="shared" si="47"/>
        <v>33.72</v>
      </c>
      <c r="BI117">
        <f t="shared" si="47"/>
        <v>34.506</v>
      </c>
      <c r="BJ117">
        <f t="shared" si="47"/>
        <v>0</v>
      </c>
      <c r="BK117">
        <f t="shared" si="47"/>
        <v>0</v>
      </c>
      <c r="BL117">
        <f t="shared" ref="BL117:BL128" si="64">U117</f>
        <v>0</v>
      </c>
      <c r="BM117">
        <f t="shared" si="53"/>
        <v>36.061527777777783</v>
      </c>
      <c r="BN117">
        <f t="shared" si="54"/>
        <v>38.112777777777772</v>
      </c>
      <c r="BO117">
        <f t="shared" si="55"/>
        <v>0</v>
      </c>
      <c r="BP117">
        <f t="shared" si="56"/>
        <v>0</v>
      </c>
      <c r="BQ117">
        <f t="shared" si="57"/>
        <v>0</v>
      </c>
      <c r="BR117">
        <f t="shared" si="58"/>
        <v>0</v>
      </c>
      <c r="BS117">
        <f t="shared" ref="BS117:BS128" si="65">AB117</f>
        <v>0</v>
      </c>
      <c r="BT117">
        <f t="shared" si="59"/>
        <v>0</v>
      </c>
      <c r="BU117">
        <f t="shared" si="60"/>
        <v>0</v>
      </c>
      <c r="BV117">
        <f t="shared" si="61"/>
        <v>0</v>
      </c>
      <c r="BW117">
        <f t="shared" ref="BW117:BW128" si="66">AF117</f>
        <v>0</v>
      </c>
    </row>
    <row r="118" spans="2:75" x14ac:dyDescent="0.2">
      <c r="C118" t="s">
        <v>961</v>
      </c>
      <c r="D118" s="25">
        <f>R63</f>
        <v>17.242999999999999</v>
      </c>
      <c r="E118" s="1"/>
      <c r="F118" s="1">
        <f>M873</f>
        <v>17</v>
      </c>
      <c r="G118" s="1">
        <f>M880</f>
        <v>18</v>
      </c>
      <c r="H118" s="1">
        <f>M888</f>
        <v>20</v>
      </c>
      <c r="I118" s="1"/>
      <c r="J118" s="1"/>
      <c r="K118" s="1"/>
      <c r="L118" s="1"/>
      <c r="M118" s="1"/>
      <c r="N118" s="1"/>
      <c r="O118" s="1"/>
      <c r="P118" s="1"/>
      <c r="Q118" s="1"/>
      <c r="S118" s="1">
        <f>M2598</f>
        <v>16.600000000000001</v>
      </c>
      <c r="T118" s="1">
        <f>M2535</f>
        <v>16.600000000000001</v>
      </c>
      <c r="U118" s="1">
        <f>M2661</f>
        <v>16.600000000000001</v>
      </c>
      <c r="V118" s="1"/>
      <c r="W118" s="1"/>
      <c r="X118" s="1">
        <f t="shared" ref="X118:AF118" ca="1" si="67">OFFSET($M$2828,X115,0)</f>
        <v>18.576499999999999</v>
      </c>
      <c r="Y118" s="1">
        <f t="shared" ca="1" si="67"/>
        <v>18.576499999999999</v>
      </c>
      <c r="Z118" s="1">
        <f t="shared" ca="1" si="67"/>
        <v>18.576499999999999</v>
      </c>
      <c r="AA118" s="1">
        <f t="shared" ca="1" si="67"/>
        <v>18.576499999999999</v>
      </c>
      <c r="AB118" s="1">
        <f t="shared" ca="1" si="67"/>
        <v>18.576499999999999</v>
      </c>
      <c r="AC118" s="1">
        <f t="shared" ca="1" si="67"/>
        <v>18.576499999999999</v>
      </c>
      <c r="AD118" s="1">
        <f t="shared" ca="1" si="67"/>
        <v>18.576499999999999</v>
      </c>
      <c r="AE118" s="1">
        <f t="shared" ca="1" si="67"/>
        <v>18.576499999999999</v>
      </c>
      <c r="AF118" s="1">
        <f t="shared" ca="1" si="67"/>
        <v>18.576499999999999</v>
      </c>
      <c r="AG118" s="1"/>
      <c r="AT118" t="str">
        <f t="shared" si="63"/>
        <v>Hydro river</v>
      </c>
      <c r="AU118">
        <f t="shared" si="47"/>
        <v>17.242999999999999</v>
      </c>
      <c r="AV118">
        <f t="shared" si="47"/>
        <v>0</v>
      </c>
      <c r="AW118">
        <f t="shared" si="47"/>
        <v>17</v>
      </c>
      <c r="AX118">
        <f t="shared" si="47"/>
        <v>18</v>
      </c>
      <c r="AY118">
        <f t="shared" si="47"/>
        <v>20</v>
      </c>
      <c r="AZ118">
        <f t="shared" si="47"/>
        <v>0</v>
      </c>
      <c r="BA118">
        <f t="shared" si="48"/>
        <v>0</v>
      </c>
      <c r="BB118">
        <f t="shared" si="47"/>
        <v>0</v>
      </c>
      <c r="BC118">
        <f t="shared" si="49"/>
        <v>0</v>
      </c>
      <c r="BD118">
        <f t="shared" si="50"/>
        <v>0</v>
      </c>
      <c r="BE118">
        <f t="shared" si="51"/>
        <v>0</v>
      </c>
      <c r="BF118">
        <f t="shared" si="47"/>
        <v>0</v>
      </c>
      <c r="BG118">
        <f t="shared" si="52"/>
        <v>0</v>
      </c>
      <c r="BH118">
        <f t="shared" si="47"/>
        <v>0</v>
      </c>
      <c r="BI118">
        <f t="shared" si="47"/>
        <v>0</v>
      </c>
      <c r="BJ118">
        <f t="shared" si="47"/>
        <v>16.600000000000001</v>
      </c>
      <c r="BK118">
        <f t="shared" si="47"/>
        <v>16.600000000000001</v>
      </c>
      <c r="BL118">
        <f t="shared" si="64"/>
        <v>16.600000000000001</v>
      </c>
      <c r="BM118">
        <f t="shared" si="53"/>
        <v>0</v>
      </c>
      <c r="BN118">
        <f t="shared" si="54"/>
        <v>0</v>
      </c>
      <c r="BO118">
        <f t="shared" ca="1" si="55"/>
        <v>18.576499999999999</v>
      </c>
      <c r="BP118">
        <f t="shared" ca="1" si="56"/>
        <v>18.576499999999999</v>
      </c>
      <c r="BQ118">
        <f t="shared" ca="1" si="57"/>
        <v>18.576499999999999</v>
      </c>
      <c r="BR118">
        <f t="shared" ca="1" si="58"/>
        <v>18.576499999999999</v>
      </c>
      <c r="BS118">
        <f t="shared" ca="1" si="65"/>
        <v>18.576499999999999</v>
      </c>
      <c r="BT118">
        <f t="shared" ca="1" si="59"/>
        <v>18.576499999999999</v>
      </c>
      <c r="BU118">
        <f t="shared" ca="1" si="60"/>
        <v>18.576499999999999</v>
      </c>
      <c r="BV118">
        <f t="shared" ca="1" si="61"/>
        <v>18.576499999999999</v>
      </c>
      <c r="BW118">
        <f t="shared" ca="1" si="66"/>
        <v>18.576499999999999</v>
      </c>
    </row>
    <row r="119" spans="2:75" x14ac:dyDescent="0.2">
      <c r="C119" t="s">
        <v>936</v>
      </c>
      <c r="D119">
        <f>R66</f>
        <v>19.71</v>
      </c>
      <c r="E119" s="1"/>
      <c r="F119" s="1">
        <f>M872</f>
        <v>18.100000000000001</v>
      </c>
      <c r="G119" s="1">
        <f>M879</f>
        <v>18</v>
      </c>
      <c r="H119" s="1">
        <f>M887</f>
        <v>19.600000000000001</v>
      </c>
      <c r="I119" s="1"/>
      <c r="J119" s="1"/>
      <c r="K119" s="1"/>
      <c r="L119" s="1"/>
      <c r="M119" s="1"/>
      <c r="N119" s="1"/>
      <c r="O119" s="1"/>
      <c r="P119" s="1"/>
      <c r="Q119" s="1"/>
      <c r="S119" s="1">
        <f>M2599+M2600-M2611</f>
        <v>19.78</v>
      </c>
      <c r="T119" s="1">
        <f>M2536+M2537-M2548</f>
        <v>19.62</v>
      </c>
      <c r="U119" s="1">
        <f>M2662+M2663-M2674</f>
        <v>19.39</v>
      </c>
      <c r="V119" s="1"/>
      <c r="W119" s="1"/>
      <c r="X119" s="1">
        <f t="shared" ref="X119:AF119" ca="1" si="68">OFFSET($M$2829,X115,0)+OFFSET($M$2830,X115,0)+OFFSET($M$2831,X115,0)</f>
        <v>18.661407333976832</v>
      </c>
      <c r="Y119" s="1">
        <f t="shared" ca="1" si="68"/>
        <v>19.41351072768202</v>
      </c>
      <c r="Z119" s="1">
        <f t="shared" ca="1" si="68"/>
        <v>18.382319319529721</v>
      </c>
      <c r="AA119" s="1">
        <f t="shared" ca="1" si="68"/>
        <v>18.579686476445474</v>
      </c>
      <c r="AB119" s="1">
        <f t="shared" ca="1" si="68"/>
        <v>19.423401214888155</v>
      </c>
      <c r="AC119" s="1">
        <f t="shared" ca="1" si="68"/>
        <v>18.088689657164053</v>
      </c>
      <c r="AD119" s="1">
        <f t="shared" ca="1" si="68"/>
        <v>18.940767710812086</v>
      </c>
      <c r="AE119" s="1">
        <f t="shared" ca="1" si="68"/>
        <v>19.41351072768202</v>
      </c>
      <c r="AF119" s="1">
        <f t="shared" ca="1" si="68"/>
        <v>17.946660000013917</v>
      </c>
      <c r="AG119" s="1"/>
      <c r="AT119" t="str">
        <f t="shared" si="63"/>
        <v>Hydro storage</v>
      </c>
      <c r="AU119">
        <f t="shared" si="47"/>
        <v>19.71</v>
      </c>
      <c r="AV119">
        <f t="shared" si="47"/>
        <v>0</v>
      </c>
      <c r="AW119">
        <f t="shared" si="47"/>
        <v>18.100000000000001</v>
      </c>
      <c r="AX119">
        <f t="shared" si="47"/>
        <v>18</v>
      </c>
      <c r="AY119">
        <f t="shared" si="47"/>
        <v>19.600000000000001</v>
      </c>
      <c r="AZ119">
        <f t="shared" si="47"/>
        <v>0</v>
      </c>
      <c r="BA119">
        <f t="shared" si="48"/>
        <v>0</v>
      </c>
      <c r="BB119">
        <f t="shared" si="47"/>
        <v>0</v>
      </c>
      <c r="BC119">
        <f t="shared" si="49"/>
        <v>0</v>
      </c>
      <c r="BD119">
        <f t="shared" si="50"/>
        <v>0</v>
      </c>
      <c r="BE119">
        <f t="shared" si="51"/>
        <v>0</v>
      </c>
      <c r="BF119">
        <f t="shared" si="47"/>
        <v>0</v>
      </c>
      <c r="BG119">
        <f t="shared" si="52"/>
        <v>0</v>
      </c>
      <c r="BH119">
        <f t="shared" si="47"/>
        <v>0</v>
      </c>
      <c r="BI119">
        <f t="shared" si="47"/>
        <v>0</v>
      </c>
      <c r="BJ119">
        <f t="shared" si="47"/>
        <v>19.78</v>
      </c>
      <c r="BK119">
        <f t="shared" si="47"/>
        <v>19.62</v>
      </c>
      <c r="BL119">
        <f t="shared" si="64"/>
        <v>19.39</v>
      </c>
      <c r="BM119">
        <f t="shared" si="53"/>
        <v>0</v>
      </c>
      <c r="BN119">
        <f t="shared" si="54"/>
        <v>0</v>
      </c>
      <c r="BO119">
        <f t="shared" ca="1" si="55"/>
        <v>18.661407333976832</v>
      </c>
      <c r="BP119">
        <f t="shared" ca="1" si="56"/>
        <v>18.579686476445474</v>
      </c>
      <c r="BQ119">
        <f t="shared" ca="1" si="57"/>
        <v>18.940767710812086</v>
      </c>
      <c r="BR119">
        <f t="shared" ca="1" si="58"/>
        <v>19.41351072768202</v>
      </c>
      <c r="BS119">
        <f t="shared" ca="1" si="65"/>
        <v>19.423401214888155</v>
      </c>
      <c r="BT119">
        <f t="shared" ca="1" si="59"/>
        <v>19.41351072768202</v>
      </c>
      <c r="BU119">
        <f t="shared" ca="1" si="60"/>
        <v>18.382319319529721</v>
      </c>
      <c r="BV119">
        <f t="shared" ca="1" si="61"/>
        <v>18.088689657164053</v>
      </c>
      <c r="BW119">
        <f t="shared" ca="1" si="66"/>
        <v>17.946660000013917</v>
      </c>
    </row>
    <row r="120" spans="2:75" x14ac:dyDescent="0.2">
      <c r="C120" t="s">
        <v>935</v>
      </c>
      <c r="D120">
        <f>R62</f>
        <v>26.37</v>
      </c>
      <c r="E120" s="1">
        <f>M686</f>
        <v>0</v>
      </c>
      <c r="F120" s="1">
        <f>M871</f>
        <v>0</v>
      </c>
      <c r="G120" s="1">
        <f>M871</f>
        <v>0</v>
      </c>
      <c r="H120" s="1">
        <f>M871</f>
        <v>0</v>
      </c>
      <c r="I120" s="1">
        <f t="shared" ref="I120:P120" ca="1" si="69">OFFSET($M$1549,I115,0)</f>
        <v>0</v>
      </c>
      <c r="J120" s="1">
        <f t="shared" ca="1" si="69"/>
        <v>0</v>
      </c>
      <c r="K120" s="1">
        <f t="shared" ca="1" si="69"/>
        <v>0</v>
      </c>
      <c r="L120" s="1">
        <f t="shared" ca="1" si="69"/>
        <v>0</v>
      </c>
      <c r="M120" s="1">
        <f t="shared" ca="1" si="69"/>
        <v>0</v>
      </c>
      <c r="N120" s="1">
        <f t="shared" ca="1" si="69"/>
        <v>0</v>
      </c>
      <c r="O120" s="1">
        <f t="shared" ca="1" si="69"/>
        <v>0</v>
      </c>
      <c r="P120" s="1">
        <f t="shared" ca="1" si="69"/>
        <v>0</v>
      </c>
      <c r="Q120" s="1">
        <f>M1017</f>
        <v>0</v>
      </c>
      <c r="R120" s="1">
        <f>M1121</f>
        <v>0</v>
      </c>
      <c r="S120" s="1">
        <f>M2597</f>
        <v>0</v>
      </c>
      <c r="T120" s="1">
        <f>M2534</f>
        <v>0</v>
      </c>
      <c r="U120" s="1">
        <f>M2660</f>
        <v>27.33</v>
      </c>
      <c r="V120" s="1">
        <f>M3112</f>
        <v>0</v>
      </c>
      <c r="W120" s="1">
        <f>M3135</f>
        <v>0</v>
      </c>
      <c r="X120" s="1">
        <f t="shared" ref="X120:AF120" ca="1" si="70">OFFSET($M$2821,X115,0)</f>
        <v>0</v>
      </c>
      <c r="Y120" s="1">
        <f t="shared" ca="1" si="70"/>
        <v>0</v>
      </c>
      <c r="Z120" s="1">
        <f t="shared" ca="1" si="70"/>
        <v>25.228800000000025</v>
      </c>
      <c r="AA120" s="1">
        <f t="shared" ca="1" si="70"/>
        <v>0</v>
      </c>
      <c r="AB120" s="1">
        <f t="shared" ca="1" si="70"/>
        <v>0</v>
      </c>
      <c r="AC120" s="1">
        <f t="shared" ca="1" si="70"/>
        <v>25.228800000000025</v>
      </c>
      <c r="AD120" s="1">
        <f t="shared" ca="1" si="70"/>
        <v>0</v>
      </c>
      <c r="AE120" s="1">
        <f t="shared" ca="1" si="70"/>
        <v>0</v>
      </c>
      <c r="AF120" s="1">
        <f t="shared" ca="1" si="70"/>
        <v>20.048091690597445</v>
      </c>
      <c r="AG120" s="1"/>
      <c r="AT120" t="str">
        <f t="shared" si="63"/>
        <v>Nuclear</v>
      </c>
      <c r="AU120">
        <f t="shared" si="47"/>
        <v>26.37</v>
      </c>
      <c r="AV120">
        <f t="shared" si="47"/>
        <v>0</v>
      </c>
      <c r="AW120">
        <f t="shared" si="47"/>
        <v>0</v>
      </c>
      <c r="AX120">
        <f t="shared" si="47"/>
        <v>0</v>
      </c>
      <c r="AY120">
        <f t="shared" si="47"/>
        <v>0</v>
      </c>
      <c r="AZ120">
        <f t="shared" ca="1" si="47"/>
        <v>0</v>
      </c>
      <c r="BA120">
        <f t="shared" ca="1" si="48"/>
        <v>0</v>
      </c>
      <c r="BB120">
        <f t="shared" ca="1" si="47"/>
        <v>0</v>
      </c>
      <c r="BC120">
        <f t="shared" ca="1" si="49"/>
        <v>0</v>
      </c>
      <c r="BD120">
        <f t="shared" ca="1" si="50"/>
        <v>0</v>
      </c>
      <c r="BE120">
        <f t="shared" ca="1" si="51"/>
        <v>0</v>
      </c>
      <c r="BF120">
        <f t="shared" ca="1" si="47"/>
        <v>0</v>
      </c>
      <c r="BG120">
        <f t="shared" ca="1" si="52"/>
        <v>0</v>
      </c>
      <c r="BH120">
        <f t="shared" si="47"/>
        <v>0</v>
      </c>
      <c r="BI120">
        <f t="shared" si="47"/>
        <v>0</v>
      </c>
      <c r="BJ120">
        <f t="shared" si="47"/>
        <v>0</v>
      </c>
      <c r="BK120">
        <f t="shared" si="47"/>
        <v>0</v>
      </c>
      <c r="BL120">
        <f t="shared" si="64"/>
        <v>27.33</v>
      </c>
      <c r="BM120">
        <f t="shared" si="53"/>
        <v>0</v>
      </c>
      <c r="BN120">
        <f t="shared" si="54"/>
        <v>0</v>
      </c>
      <c r="BO120">
        <f t="shared" ca="1" si="55"/>
        <v>0</v>
      </c>
      <c r="BP120">
        <f t="shared" ca="1" si="56"/>
        <v>0</v>
      </c>
      <c r="BQ120">
        <f t="shared" ca="1" si="57"/>
        <v>0</v>
      </c>
      <c r="BR120">
        <f t="shared" ca="1" si="58"/>
        <v>0</v>
      </c>
      <c r="BS120">
        <f t="shared" ca="1" si="65"/>
        <v>0</v>
      </c>
      <c r="BT120">
        <f t="shared" ca="1" si="59"/>
        <v>0</v>
      </c>
      <c r="BU120">
        <f t="shared" ca="1" si="60"/>
        <v>25.228800000000025</v>
      </c>
      <c r="BV120">
        <f t="shared" ca="1" si="61"/>
        <v>25.228800000000025</v>
      </c>
      <c r="BW120">
        <f t="shared" ca="1" si="66"/>
        <v>20.048091690597445</v>
      </c>
    </row>
    <row r="121" spans="2:75" x14ac:dyDescent="0.2">
      <c r="C121" t="s">
        <v>7</v>
      </c>
      <c r="D121" s="25">
        <f>R74</f>
        <v>0.84160000000000001</v>
      </c>
      <c r="E121" s="1">
        <f>M690</f>
        <v>14</v>
      </c>
      <c r="F121" s="1">
        <f>M876</f>
        <v>3.58</v>
      </c>
      <c r="G121" s="1">
        <f>M883</f>
        <v>8.48</v>
      </c>
      <c r="H121" s="1">
        <f>M891</f>
        <v>14.18</v>
      </c>
      <c r="I121" s="1">
        <f t="shared" ref="I121:P121" ca="1" si="71">OFFSET($M$1557,I115,0)</f>
        <v>5.92</v>
      </c>
      <c r="J121" s="1">
        <f t="shared" ca="1" si="71"/>
        <v>11.12</v>
      </c>
      <c r="K121" s="1">
        <f t="shared" ca="1" si="71"/>
        <v>5.92</v>
      </c>
      <c r="L121" s="1">
        <f t="shared" ca="1" si="71"/>
        <v>11.12</v>
      </c>
      <c r="M121" s="1">
        <f t="shared" ca="1" si="71"/>
        <v>11.12</v>
      </c>
      <c r="N121" s="1">
        <f t="shared" ca="1" si="71"/>
        <v>5.92</v>
      </c>
      <c r="O121" s="1">
        <f t="shared" ca="1" si="71"/>
        <v>11.12</v>
      </c>
      <c r="P121" s="1">
        <f t="shared" ca="1" si="71"/>
        <v>11.12</v>
      </c>
      <c r="Q121" s="1">
        <f>M1021</f>
        <v>20.45</v>
      </c>
      <c r="R121" s="1">
        <f>M1126</f>
        <v>19</v>
      </c>
      <c r="S121" s="1">
        <f>M2603</f>
        <v>11.120000000000001</v>
      </c>
      <c r="T121" s="1">
        <f>M2540</f>
        <v>11.120000000000001</v>
      </c>
      <c r="U121" s="1">
        <f>M2666</f>
        <v>0</v>
      </c>
      <c r="V121" s="1">
        <f>M3117</f>
        <v>13.692388888888889</v>
      </c>
      <c r="W121" s="1">
        <f>M3140</f>
        <v>13.692388888888885</v>
      </c>
      <c r="X121" s="1">
        <f t="shared" ref="X121:AF121" ca="1" si="72">OFFSET($M$2824,X115,0)</f>
        <v>7.0795195806010005</v>
      </c>
      <c r="Y121" s="1">
        <f t="shared" ca="1" si="72"/>
        <v>9.2161754103737223</v>
      </c>
      <c r="Z121" s="1">
        <f t="shared" ca="1" si="72"/>
        <v>2.8276396599183333</v>
      </c>
      <c r="AA121" s="1">
        <f t="shared" ca="1" si="72"/>
        <v>5.3308266174228613</v>
      </c>
      <c r="AB121" s="1">
        <f t="shared" ca="1" si="72"/>
        <v>9.2161754103737223</v>
      </c>
      <c r="AC121" s="1">
        <f t="shared" ca="1" si="72"/>
        <v>0</v>
      </c>
      <c r="AD121" s="1">
        <f t="shared" ca="1" si="72"/>
        <v>9.2161754103737223</v>
      </c>
      <c r="AE121" s="1">
        <f t="shared" ca="1" si="72"/>
        <v>9.2161754103737223</v>
      </c>
      <c r="AF121" s="1">
        <f t="shared" ca="1" si="72"/>
        <v>0</v>
      </c>
      <c r="AG121" s="1"/>
      <c r="AT121" t="str">
        <f t="shared" si="63"/>
        <v>PV</v>
      </c>
      <c r="AU121">
        <f t="shared" si="47"/>
        <v>0.84160000000000001</v>
      </c>
      <c r="AV121">
        <f t="shared" si="47"/>
        <v>14</v>
      </c>
      <c r="AW121">
        <f t="shared" si="47"/>
        <v>3.58</v>
      </c>
      <c r="AX121">
        <f t="shared" si="47"/>
        <v>8.48</v>
      </c>
      <c r="AY121">
        <f t="shared" si="47"/>
        <v>14.18</v>
      </c>
      <c r="AZ121">
        <f t="shared" ca="1" si="47"/>
        <v>5.92</v>
      </c>
      <c r="BA121">
        <f t="shared" ca="1" si="48"/>
        <v>5.92</v>
      </c>
      <c r="BB121">
        <f t="shared" ca="1" si="47"/>
        <v>5.92</v>
      </c>
      <c r="BC121">
        <f t="shared" ca="1" si="49"/>
        <v>11.12</v>
      </c>
      <c r="BD121">
        <f t="shared" ca="1" si="50"/>
        <v>11.12</v>
      </c>
      <c r="BE121">
        <f t="shared" ca="1" si="51"/>
        <v>11.12</v>
      </c>
      <c r="BF121">
        <f t="shared" ca="1" si="47"/>
        <v>11.12</v>
      </c>
      <c r="BG121">
        <f t="shared" ca="1" si="52"/>
        <v>11.12</v>
      </c>
      <c r="BH121">
        <f t="shared" si="47"/>
        <v>20.45</v>
      </c>
      <c r="BI121">
        <f t="shared" si="47"/>
        <v>19</v>
      </c>
      <c r="BJ121">
        <f t="shared" si="47"/>
        <v>11.120000000000001</v>
      </c>
      <c r="BK121">
        <f t="shared" si="47"/>
        <v>11.120000000000001</v>
      </c>
      <c r="BL121">
        <f t="shared" si="64"/>
        <v>0</v>
      </c>
      <c r="BM121">
        <f t="shared" si="53"/>
        <v>13.692388888888889</v>
      </c>
      <c r="BN121">
        <f t="shared" si="54"/>
        <v>13.692388888888885</v>
      </c>
      <c r="BO121">
        <f t="shared" ca="1" si="55"/>
        <v>7.0795195806010005</v>
      </c>
      <c r="BP121">
        <f t="shared" ca="1" si="56"/>
        <v>5.3308266174228613</v>
      </c>
      <c r="BQ121">
        <f t="shared" ca="1" si="57"/>
        <v>9.2161754103737223</v>
      </c>
      <c r="BR121">
        <f t="shared" ca="1" si="58"/>
        <v>9.2161754103737223</v>
      </c>
      <c r="BS121">
        <f t="shared" ca="1" si="65"/>
        <v>9.2161754103737223</v>
      </c>
      <c r="BT121">
        <f t="shared" ca="1" si="59"/>
        <v>9.2161754103737223</v>
      </c>
      <c r="BU121">
        <f t="shared" ca="1" si="60"/>
        <v>2.8276396599183333</v>
      </c>
      <c r="BV121">
        <f t="shared" ca="1" si="61"/>
        <v>0</v>
      </c>
      <c r="BW121">
        <f t="shared" ca="1" si="66"/>
        <v>0</v>
      </c>
    </row>
    <row r="122" spans="2:75" x14ac:dyDescent="0.2">
      <c r="C122" t="s">
        <v>8</v>
      </c>
      <c r="D122" s="25">
        <f>R75</f>
        <v>0.1009</v>
      </c>
      <c r="E122" s="1">
        <f>M691</f>
        <v>3</v>
      </c>
      <c r="F122" s="1">
        <f>M875</f>
        <v>2.04</v>
      </c>
      <c r="G122" s="1">
        <f>M882</f>
        <v>3.04</v>
      </c>
      <c r="H122" s="1">
        <f>M890</f>
        <v>4.04</v>
      </c>
      <c r="I122" s="1">
        <f t="shared" ref="I122:P122" ca="1" si="73">OFFSET($M$1558,I115,0)</f>
        <v>1.41</v>
      </c>
      <c r="J122" s="1">
        <f t="shared" ca="1" si="73"/>
        <v>4.26</v>
      </c>
      <c r="K122" s="1">
        <f t="shared" ca="1" si="73"/>
        <v>1.41</v>
      </c>
      <c r="L122" s="1">
        <f t="shared" ca="1" si="73"/>
        <v>4.26</v>
      </c>
      <c r="M122" s="1">
        <f t="shared" ca="1" si="73"/>
        <v>4.26</v>
      </c>
      <c r="N122" s="1">
        <f t="shared" ca="1" si="73"/>
        <v>1.41</v>
      </c>
      <c r="O122" s="1">
        <f t="shared" ca="1" si="73"/>
        <v>4.26</v>
      </c>
      <c r="P122" s="1">
        <f t="shared" ca="1" si="73"/>
        <v>4.26</v>
      </c>
      <c r="Q122" s="1">
        <f>M1022</f>
        <v>7.11</v>
      </c>
      <c r="R122" s="1">
        <f>M1125</f>
        <v>4</v>
      </c>
      <c r="S122" s="1">
        <f>M2604</f>
        <v>4.2699999999999996</v>
      </c>
      <c r="T122" s="1">
        <f>M2541</f>
        <v>4.2699999999999996</v>
      </c>
      <c r="U122" s="1">
        <f>M2667</f>
        <v>0</v>
      </c>
      <c r="V122" s="1">
        <f>M3116</f>
        <v>0</v>
      </c>
      <c r="W122" s="1">
        <f>M3139</f>
        <v>4.1998611111111108</v>
      </c>
      <c r="X122" s="1">
        <f t="shared" ref="X122:AF122" ca="1" si="74">OFFSET($M$2825,X115,0)</f>
        <v>2.4133333333333358</v>
      </c>
      <c r="Y122" s="1">
        <f t="shared" ca="1" si="74"/>
        <v>2.4133333333333304</v>
      </c>
      <c r="Z122" s="1">
        <f t="shared" ca="1" si="74"/>
        <v>0.30117155633307219</v>
      </c>
      <c r="AA122" s="1">
        <f t="shared" ca="1" si="74"/>
        <v>1.1768305173386833</v>
      </c>
      <c r="AB122" s="1">
        <f t="shared" ca="1" si="74"/>
        <v>2.4133333333333336</v>
      </c>
      <c r="AC122" s="1">
        <f t="shared" ca="1" si="74"/>
        <v>0</v>
      </c>
      <c r="AD122" s="1">
        <f t="shared" ca="1" si="74"/>
        <v>2.4133333333333336</v>
      </c>
      <c r="AE122" s="1">
        <f t="shared" ca="1" si="74"/>
        <v>2.4133333333333336</v>
      </c>
      <c r="AF122" s="1">
        <f t="shared" ca="1" si="74"/>
        <v>0</v>
      </c>
      <c r="AG122" s="1"/>
      <c r="AT122" t="str">
        <f t="shared" si="63"/>
        <v>Wind</v>
      </c>
      <c r="AU122">
        <f t="shared" si="47"/>
        <v>0.1009</v>
      </c>
      <c r="AV122">
        <f t="shared" si="47"/>
        <v>3</v>
      </c>
      <c r="AW122">
        <f t="shared" si="47"/>
        <v>2.04</v>
      </c>
      <c r="AX122">
        <f t="shared" si="47"/>
        <v>3.04</v>
      </c>
      <c r="AY122">
        <f t="shared" si="47"/>
        <v>4.04</v>
      </c>
      <c r="AZ122">
        <f t="shared" ca="1" si="47"/>
        <v>1.41</v>
      </c>
      <c r="BA122">
        <f t="shared" ca="1" si="48"/>
        <v>1.41</v>
      </c>
      <c r="BB122">
        <f t="shared" ca="1" si="47"/>
        <v>1.41</v>
      </c>
      <c r="BC122">
        <f t="shared" ca="1" si="49"/>
        <v>4.26</v>
      </c>
      <c r="BD122">
        <f t="shared" ca="1" si="50"/>
        <v>4.26</v>
      </c>
      <c r="BE122">
        <f t="shared" ca="1" si="51"/>
        <v>4.26</v>
      </c>
      <c r="BF122">
        <f t="shared" ca="1" si="47"/>
        <v>4.26</v>
      </c>
      <c r="BG122">
        <f t="shared" ca="1" si="52"/>
        <v>4.26</v>
      </c>
      <c r="BH122">
        <f t="shared" si="47"/>
        <v>7.11</v>
      </c>
      <c r="BI122">
        <f t="shared" si="47"/>
        <v>4</v>
      </c>
      <c r="BJ122">
        <f t="shared" si="47"/>
        <v>4.2699999999999996</v>
      </c>
      <c r="BK122">
        <f t="shared" si="47"/>
        <v>4.2699999999999996</v>
      </c>
      <c r="BL122">
        <f t="shared" si="64"/>
        <v>0</v>
      </c>
      <c r="BM122">
        <f t="shared" si="53"/>
        <v>0</v>
      </c>
      <c r="BN122">
        <f t="shared" si="54"/>
        <v>4.1998611111111108</v>
      </c>
      <c r="BO122">
        <f t="shared" ca="1" si="55"/>
        <v>2.4133333333333358</v>
      </c>
      <c r="BP122">
        <f t="shared" ca="1" si="56"/>
        <v>1.1768305173386833</v>
      </c>
      <c r="BQ122">
        <f t="shared" ca="1" si="57"/>
        <v>2.4133333333333336</v>
      </c>
      <c r="BR122">
        <f t="shared" ca="1" si="58"/>
        <v>2.4133333333333304</v>
      </c>
      <c r="BS122">
        <f t="shared" ca="1" si="65"/>
        <v>2.4133333333333336</v>
      </c>
      <c r="BT122">
        <f t="shared" ca="1" si="59"/>
        <v>2.4133333333333336</v>
      </c>
      <c r="BU122">
        <f t="shared" ca="1" si="60"/>
        <v>0.30117155633307219</v>
      </c>
      <c r="BV122">
        <f t="shared" ca="1" si="61"/>
        <v>0</v>
      </c>
      <c r="BW122">
        <f t="shared" ca="1" si="66"/>
        <v>0</v>
      </c>
    </row>
    <row r="123" spans="2:75" x14ac:dyDescent="0.2">
      <c r="C123" t="s">
        <v>937</v>
      </c>
      <c r="E123" s="1"/>
      <c r="F123" s="1">
        <f>M874</f>
        <v>5.8</v>
      </c>
      <c r="G123" s="1">
        <f>M881</f>
        <v>8.3000000000000007</v>
      </c>
      <c r="H123" s="1">
        <f>M889</f>
        <v>9.3000000000000007</v>
      </c>
      <c r="I123" s="1"/>
      <c r="J123" s="1"/>
      <c r="K123" s="1"/>
      <c r="L123" s="1"/>
      <c r="M123" s="1"/>
      <c r="N123" s="1"/>
      <c r="O123" s="1"/>
      <c r="P123" s="1"/>
      <c r="Q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T123" t="str">
        <f t="shared" si="63"/>
        <v>Biomass+Geo</v>
      </c>
      <c r="AU123">
        <f t="shared" si="47"/>
        <v>0</v>
      </c>
      <c r="AV123">
        <f t="shared" si="47"/>
        <v>0</v>
      </c>
      <c r="AW123">
        <f t="shared" si="47"/>
        <v>5.8</v>
      </c>
      <c r="AX123">
        <f t="shared" si="47"/>
        <v>8.3000000000000007</v>
      </c>
      <c r="AY123">
        <f t="shared" si="47"/>
        <v>9.3000000000000007</v>
      </c>
      <c r="AZ123">
        <f t="shared" si="47"/>
        <v>0</v>
      </c>
      <c r="BA123">
        <f t="shared" si="48"/>
        <v>0</v>
      </c>
      <c r="BB123">
        <f t="shared" si="47"/>
        <v>0</v>
      </c>
      <c r="BC123">
        <f t="shared" si="49"/>
        <v>0</v>
      </c>
      <c r="BD123">
        <f t="shared" si="50"/>
        <v>0</v>
      </c>
      <c r="BE123">
        <f t="shared" si="51"/>
        <v>0</v>
      </c>
      <c r="BF123">
        <f t="shared" si="47"/>
        <v>0</v>
      </c>
      <c r="BG123">
        <f t="shared" si="52"/>
        <v>0</v>
      </c>
      <c r="BH123">
        <f t="shared" si="47"/>
        <v>0</v>
      </c>
      <c r="BI123">
        <f t="shared" si="47"/>
        <v>0</v>
      </c>
      <c r="BJ123">
        <f t="shared" si="47"/>
        <v>0</v>
      </c>
      <c r="BK123">
        <f t="shared" si="47"/>
        <v>0</v>
      </c>
      <c r="BL123">
        <f t="shared" si="64"/>
        <v>0</v>
      </c>
      <c r="BM123">
        <f t="shared" si="53"/>
        <v>0</v>
      </c>
      <c r="BN123">
        <f t="shared" si="54"/>
        <v>0</v>
      </c>
      <c r="BO123">
        <f t="shared" si="55"/>
        <v>0</v>
      </c>
      <c r="BP123">
        <f t="shared" si="56"/>
        <v>0</v>
      </c>
      <c r="BQ123">
        <f t="shared" si="57"/>
        <v>0</v>
      </c>
      <c r="BR123">
        <f t="shared" si="58"/>
        <v>0</v>
      </c>
      <c r="BS123">
        <f t="shared" si="65"/>
        <v>0</v>
      </c>
      <c r="BT123">
        <f t="shared" si="59"/>
        <v>0</v>
      </c>
      <c r="BU123">
        <f t="shared" si="60"/>
        <v>0</v>
      </c>
      <c r="BV123">
        <f t="shared" si="61"/>
        <v>0</v>
      </c>
      <c r="BW123">
        <f t="shared" si="66"/>
        <v>0</v>
      </c>
    </row>
    <row r="124" spans="2:75" x14ac:dyDescent="0.2">
      <c r="C124" t="s">
        <v>960</v>
      </c>
      <c r="D124">
        <v>0</v>
      </c>
      <c r="E124" s="1">
        <f>M692</f>
        <v>4</v>
      </c>
      <c r="F124" s="1"/>
      <c r="G124" s="1"/>
      <c r="H124" s="1"/>
      <c r="I124" s="1">
        <f t="shared" ref="I124:P124" ca="1" si="75">OFFSET($M$1560,I115,0)</f>
        <v>0.42</v>
      </c>
      <c r="J124" s="1">
        <f t="shared" ca="1" si="75"/>
        <v>4.3899999999999997</v>
      </c>
      <c r="K124" s="1">
        <f t="shared" ca="1" si="75"/>
        <v>0.42</v>
      </c>
      <c r="L124" s="1">
        <f t="shared" ca="1" si="75"/>
        <v>4.3899999999999997</v>
      </c>
      <c r="M124" s="1">
        <f t="shared" ca="1" si="75"/>
        <v>4.3899999999999997</v>
      </c>
      <c r="N124" s="1">
        <f t="shared" ca="1" si="75"/>
        <v>0.42</v>
      </c>
      <c r="O124" s="1">
        <f t="shared" ca="1" si="75"/>
        <v>4.3899999999999997</v>
      </c>
      <c r="P124" s="1">
        <f t="shared" ca="1" si="75"/>
        <v>4.3899999999999997</v>
      </c>
      <c r="Q124" s="1">
        <f>M1027</f>
        <v>5.88</v>
      </c>
      <c r="R124" s="1">
        <f>M1128</f>
        <v>3.8</v>
      </c>
      <c r="S124" s="1">
        <f>M2601</f>
        <v>4.41</v>
      </c>
      <c r="T124" s="1">
        <f>M2538</f>
        <v>4.41</v>
      </c>
      <c r="U124" s="1">
        <f>M2664</f>
        <v>0</v>
      </c>
      <c r="V124" s="1"/>
      <c r="W124" s="1"/>
      <c r="X124" s="1">
        <f t="shared" ref="X124:AF124" ca="1" si="76">OFFSET($M$2823,X115,0)</f>
        <v>0</v>
      </c>
      <c r="Y124" s="1">
        <f t="shared" ca="1" si="76"/>
        <v>3.9390873333333332</v>
      </c>
      <c r="Z124" s="1">
        <f t="shared" ca="1" si="76"/>
        <v>0</v>
      </c>
      <c r="AA124" s="1">
        <f t="shared" ca="1" si="76"/>
        <v>0</v>
      </c>
      <c r="AB124" s="1">
        <f t="shared" ca="1" si="76"/>
        <v>3.9390873333333332</v>
      </c>
      <c r="AC124" s="1">
        <f t="shared" ca="1" si="76"/>
        <v>0</v>
      </c>
      <c r="AD124" s="1">
        <f t="shared" ca="1" si="76"/>
        <v>3.4385133306200832</v>
      </c>
      <c r="AE124" s="1">
        <f t="shared" ca="1" si="76"/>
        <v>3.9390873333333332</v>
      </c>
      <c r="AF124" s="1">
        <f t="shared" ca="1" si="76"/>
        <v>0</v>
      </c>
      <c r="AG124" s="1"/>
      <c r="AT124" t="str">
        <f t="shared" si="63"/>
        <v>Geo</v>
      </c>
      <c r="AU124">
        <f t="shared" si="47"/>
        <v>0</v>
      </c>
      <c r="AV124">
        <f t="shared" si="47"/>
        <v>4</v>
      </c>
      <c r="AW124">
        <f t="shared" si="47"/>
        <v>0</v>
      </c>
      <c r="AX124">
        <f t="shared" si="47"/>
        <v>0</v>
      </c>
      <c r="AY124">
        <f t="shared" si="47"/>
        <v>0</v>
      </c>
      <c r="AZ124">
        <f t="shared" ca="1" si="47"/>
        <v>0.42</v>
      </c>
      <c r="BA124">
        <f t="shared" ca="1" si="48"/>
        <v>0.42</v>
      </c>
      <c r="BB124">
        <f t="shared" ca="1" si="47"/>
        <v>0.42</v>
      </c>
      <c r="BC124">
        <f t="shared" ca="1" si="49"/>
        <v>4.3899999999999997</v>
      </c>
      <c r="BD124">
        <f t="shared" ca="1" si="50"/>
        <v>4.3899999999999997</v>
      </c>
      <c r="BE124">
        <f t="shared" ca="1" si="51"/>
        <v>4.3899999999999997</v>
      </c>
      <c r="BF124">
        <f t="shared" ca="1" si="47"/>
        <v>4.3899999999999997</v>
      </c>
      <c r="BG124">
        <f t="shared" ca="1" si="52"/>
        <v>4.3899999999999997</v>
      </c>
      <c r="BH124">
        <f t="shared" si="47"/>
        <v>5.88</v>
      </c>
      <c r="BI124">
        <f t="shared" si="47"/>
        <v>3.8</v>
      </c>
      <c r="BJ124">
        <f t="shared" si="47"/>
        <v>4.41</v>
      </c>
      <c r="BK124">
        <f t="shared" si="47"/>
        <v>4.41</v>
      </c>
      <c r="BL124">
        <f t="shared" si="64"/>
        <v>0</v>
      </c>
      <c r="BM124">
        <f t="shared" si="53"/>
        <v>0</v>
      </c>
      <c r="BN124">
        <f t="shared" si="54"/>
        <v>0</v>
      </c>
      <c r="BO124">
        <f t="shared" ca="1" si="55"/>
        <v>0</v>
      </c>
      <c r="BP124">
        <f t="shared" ca="1" si="56"/>
        <v>0</v>
      </c>
      <c r="BQ124">
        <f t="shared" ca="1" si="57"/>
        <v>3.4385133306200832</v>
      </c>
      <c r="BR124">
        <f t="shared" ca="1" si="58"/>
        <v>3.9390873333333332</v>
      </c>
      <c r="BS124">
        <f t="shared" ca="1" si="65"/>
        <v>3.9390873333333332</v>
      </c>
      <c r="BT124">
        <f t="shared" ca="1" si="59"/>
        <v>3.9390873333333332</v>
      </c>
      <c r="BU124">
        <f t="shared" ca="1" si="60"/>
        <v>0</v>
      </c>
      <c r="BV124">
        <f t="shared" ca="1" si="61"/>
        <v>0</v>
      </c>
      <c r="BW124">
        <f t="shared" ca="1" si="66"/>
        <v>0</v>
      </c>
    </row>
    <row r="125" spans="2:75" x14ac:dyDescent="0.2">
      <c r="C125" t="s">
        <v>984</v>
      </c>
      <c r="D125" s="25">
        <f>R73</f>
        <v>1.6287</v>
      </c>
      <c r="E125" s="1">
        <f>M693</f>
        <v>6</v>
      </c>
      <c r="F125" s="1"/>
      <c r="G125" s="1"/>
      <c r="H125" s="1"/>
      <c r="I125" s="1">
        <f ca="1">SUM(OFFSET($M$1559,I115,0):OFFSET($M$1565,I115,0))-I124</f>
        <v>2.5</v>
      </c>
      <c r="J125" s="1">
        <f ca="1">SUM(OFFSET($M$1559,J115,0):OFFSET($M$1565,J115,0))-J124</f>
        <v>4.45</v>
      </c>
      <c r="K125" s="1">
        <f ca="1">SUM(OFFSET($M$1559,K115,0):OFFSET($M$1565,K115,0))-K124</f>
        <v>2.5</v>
      </c>
      <c r="L125" s="1">
        <f ca="1">SUM(OFFSET($M$1559,L115,0):OFFSET($M$1565,L115,0))-L124</f>
        <v>4.45</v>
      </c>
      <c r="M125" s="1">
        <f ca="1">SUM(OFFSET($M$1559,M115,0):OFFSET($M$1565,M115,0))-M124</f>
        <v>4.45</v>
      </c>
      <c r="N125" s="1">
        <f ca="1">SUM(OFFSET($M$1559,N115,0):OFFSET($M$1565,N115,0))-N124</f>
        <v>2.5</v>
      </c>
      <c r="O125" s="1">
        <f ca="1">SUM(OFFSET($M$1559,O115,0):OFFSET($M$1565,O115,0))-O124</f>
        <v>4.45</v>
      </c>
      <c r="P125" s="1">
        <f ca="1">SUM(OFFSET($M$1559,P115,0):OFFSET($M$1565,P115,0))-P124</f>
        <v>4.45</v>
      </c>
      <c r="Q125" s="1">
        <f>M1024+M1025+M1026</f>
        <v>5.3100000000000005</v>
      </c>
      <c r="R125">
        <f>M1127+M1122</f>
        <v>7.4</v>
      </c>
      <c r="S125" s="1">
        <f>M2602</f>
        <v>1.76</v>
      </c>
      <c r="T125" s="1">
        <f>M2539</f>
        <v>2.81</v>
      </c>
      <c r="U125" s="1">
        <f>M2665</f>
        <v>0</v>
      </c>
      <c r="V125" s="1">
        <f>M3115</f>
        <v>0</v>
      </c>
      <c r="W125" s="1">
        <f>M3138</f>
        <v>0</v>
      </c>
      <c r="X125" s="1">
        <f t="shared" ref="X125:AF125" ca="1" si="77">OFFSET($M$2826,X115,0)+OFFSET($M$2827,X115,0)</f>
        <v>2.2361111111111112</v>
      </c>
      <c r="Y125" s="1">
        <f t="shared" ca="1" si="77"/>
        <v>4.735816299647114</v>
      </c>
      <c r="Z125" s="1">
        <f t="shared" ca="1" si="77"/>
        <v>2.2361111111111112</v>
      </c>
      <c r="AA125" s="1">
        <f t="shared" ca="1" si="77"/>
        <v>2.2361111111111112</v>
      </c>
      <c r="AB125" s="1">
        <f t="shared" ca="1" si="77"/>
        <v>5.8851111111111116</v>
      </c>
      <c r="AC125" s="1">
        <f t="shared" ca="1" si="77"/>
        <v>2.2361111111111112</v>
      </c>
      <c r="AD125" s="1">
        <f t="shared" ca="1" si="77"/>
        <v>2.2361111111111112</v>
      </c>
      <c r="AE125" s="1">
        <f t="shared" ca="1" si="77"/>
        <v>3.2590680641113279</v>
      </c>
      <c r="AF125" s="1">
        <f t="shared" ca="1" si="77"/>
        <v>1.4166666666666665</v>
      </c>
      <c r="AG125" s="1"/>
      <c r="AT125" t="str">
        <f t="shared" si="63"/>
        <v>Biomass</v>
      </c>
      <c r="AU125">
        <f t="shared" si="47"/>
        <v>1.6287</v>
      </c>
      <c r="AV125">
        <f t="shared" si="47"/>
        <v>6</v>
      </c>
      <c r="AW125">
        <f t="shared" si="47"/>
        <v>0</v>
      </c>
      <c r="AX125">
        <f t="shared" si="47"/>
        <v>0</v>
      </c>
      <c r="AY125">
        <f t="shared" si="47"/>
        <v>0</v>
      </c>
      <c r="AZ125">
        <f t="shared" ca="1" si="47"/>
        <v>2.5</v>
      </c>
      <c r="BA125">
        <f t="shared" ca="1" si="48"/>
        <v>2.5</v>
      </c>
      <c r="BB125">
        <f t="shared" ca="1" si="47"/>
        <v>2.5</v>
      </c>
      <c r="BC125">
        <f t="shared" ca="1" si="49"/>
        <v>4.45</v>
      </c>
      <c r="BD125">
        <f t="shared" ca="1" si="50"/>
        <v>4.45</v>
      </c>
      <c r="BE125">
        <f t="shared" ca="1" si="51"/>
        <v>4.45</v>
      </c>
      <c r="BF125">
        <f t="shared" ca="1" si="47"/>
        <v>4.45</v>
      </c>
      <c r="BG125">
        <f t="shared" ca="1" si="52"/>
        <v>4.45</v>
      </c>
      <c r="BH125">
        <f t="shared" si="47"/>
        <v>5.3100000000000005</v>
      </c>
      <c r="BI125">
        <f t="shared" si="47"/>
        <v>7.4</v>
      </c>
      <c r="BJ125">
        <f t="shared" si="47"/>
        <v>1.76</v>
      </c>
      <c r="BK125">
        <f t="shared" si="47"/>
        <v>2.81</v>
      </c>
      <c r="BL125">
        <f t="shared" si="64"/>
        <v>0</v>
      </c>
      <c r="BM125">
        <f t="shared" si="53"/>
        <v>0</v>
      </c>
      <c r="BN125">
        <f t="shared" si="54"/>
        <v>0</v>
      </c>
      <c r="BO125">
        <f t="shared" ca="1" si="55"/>
        <v>2.2361111111111112</v>
      </c>
      <c r="BP125">
        <f t="shared" ca="1" si="56"/>
        <v>2.2361111111111112</v>
      </c>
      <c r="BQ125">
        <f t="shared" ca="1" si="57"/>
        <v>2.2361111111111112</v>
      </c>
      <c r="BR125">
        <f t="shared" ca="1" si="58"/>
        <v>4.735816299647114</v>
      </c>
      <c r="BS125">
        <f t="shared" ca="1" si="65"/>
        <v>5.8851111111111116</v>
      </c>
      <c r="BT125">
        <f t="shared" ca="1" si="59"/>
        <v>3.2590680641113279</v>
      </c>
      <c r="BU125">
        <f t="shared" ca="1" si="60"/>
        <v>2.2361111111111112</v>
      </c>
      <c r="BV125">
        <f t="shared" ca="1" si="61"/>
        <v>2.2361111111111112</v>
      </c>
      <c r="BW125">
        <f t="shared" ca="1" si="66"/>
        <v>1.4166666666666665</v>
      </c>
    </row>
    <row r="126" spans="2:75" x14ac:dyDescent="0.2">
      <c r="C126" t="s">
        <v>959</v>
      </c>
      <c r="E126" s="1">
        <f>M696+M687</f>
        <v>13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T126" t="str">
        <f t="shared" si="63"/>
        <v>Gas+Net import</v>
      </c>
      <c r="AU126">
        <f t="shared" si="47"/>
        <v>0</v>
      </c>
      <c r="AV126">
        <f t="shared" si="47"/>
        <v>13</v>
      </c>
      <c r="AW126">
        <f t="shared" si="47"/>
        <v>0</v>
      </c>
      <c r="AX126">
        <f t="shared" si="47"/>
        <v>0</v>
      </c>
      <c r="AY126">
        <f t="shared" si="47"/>
        <v>0</v>
      </c>
      <c r="AZ126">
        <f t="shared" si="47"/>
        <v>0</v>
      </c>
      <c r="BA126">
        <f t="shared" si="48"/>
        <v>0</v>
      </c>
      <c r="BB126">
        <f t="shared" si="47"/>
        <v>0</v>
      </c>
      <c r="BC126">
        <f t="shared" si="49"/>
        <v>0</v>
      </c>
      <c r="BD126">
        <f t="shared" si="50"/>
        <v>0</v>
      </c>
      <c r="BE126">
        <f t="shared" si="51"/>
        <v>0</v>
      </c>
      <c r="BF126">
        <f t="shared" si="47"/>
        <v>0</v>
      </c>
      <c r="BG126">
        <f t="shared" si="52"/>
        <v>0</v>
      </c>
      <c r="BH126">
        <f t="shared" si="47"/>
        <v>0</v>
      </c>
      <c r="BI126">
        <f t="shared" si="47"/>
        <v>0</v>
      </c>
      <c r="BJ126">
        <f t="shared" si="47"/>
        <v>0</v>
      </c>
      <c r="BK126">
        <f t="shared" si="47"/>
        <v>0</v>
      </c>
      <c r="BL126">
        <f t="shared" si="64"/>
        <v>0</v>
      </c>
      <c r="BM126">
        <f t="shared" si="53"/>
        <v>0</v>
      </c>
      <c r="BN126">
        <f t="shared" si="54"/>
        <v>0</v>
      </c>
      <c r="BO126">
        <f t="shared" si="55"/>
        <v>0</v>
      </c>
      <c r="BP126">
        <f t="shared" si="56"/>
        <v>0</v>
      </c>
      <c r="BQ126">
        <f t="shared" si="57"/>
        <v>0</v>
      </c>
      <c r="BR126">
        <f t="shared" si="58"/>
        <v>0</v>
      </c>
      <c r="BS126">
        <f t="shared" si="65"/>
        <v>0</v>
      </c>
      <c r="BT126">
        <f t="shared" si="59"/>
        <v>0</v>
      </c>
      <c r="BU126">
        <f t="shared" si="60"/>
        <v>0</v>
      </c>
      <c r="BV126">
        <f t="shared" si="61"/>
        <v>0</v>
      </c>
      <c r="BW126">
        <f t="shared" si="66"/>
        <v>0</v>
      </c>
    </row>
    <row r="127" spans="2:75" x14ac:dyDescent="0.2">
      <c r="C127" t="s">
        <v>971</v>
      </c>
      <c r="D127" s="25">
        <f>R68-R72</f>
        <v>1.3837999999999999</v>
      </c>
      <c r="E127" s="1"/>
      <c r="F127" s="1">
        <f>M877</f>
        <v>15.4</v>
      </c>
      <c r="G127" s="1">
        <f>M884</f>
        <v>7.8</v>
      </c>
      <c r="H127" s="1">
        <f>M892</f>
        <v>0</v>
      </c>
      <c r="I127" s="1">
        <f t="shared" ref="I127:P127" ca="1" si="78">OFFSET($M$1550,I115,0)</f>
        <v>30.5</v>
      </c>
      <c r="J127" s="1">
        <f t="shared" ca="1" si="78"/>
        <v>15.56</v>
      </c>
      <c r="K127" s="1">
        <f t="shared" ca="1" si="78"/>
        <v>13.27</v>
      </c>
      <c r="L127" s="1">
        <f t="shared" ca="1" si="78"/>
        <v>6</v>
      </c>
      <c r="M127" s="1">
        <f t="shared" ca="1" si="78"/>
        <v>3.45</v>
      </c>
      <c r="N127" s="1">
        <f t="shared" ca="1" si="78"/>
        <v>21.66</v>
      </c>
      <c r="O127" s="1">
        <f t="shared" ca="1" si="78"/>
        <v>10.65</v>
      </c>
      <c r="P127" s="1">
        <f t="shared" ca="1" si="78"/>
        <v>3.45</v>
      </c>
      <c r="Q127" s="1">
        <f>M1023</f>
        <v>0</v>
      </c>
      <c r="R127" s="1">
        <f>M1115</f>
        <v>0.8</v>
      </c>
      <c r="S127" s="1">
        <f>M2596+M2605</f>
        <v>17.170000000000002</v>
      </c>
      <c r="T127" s="1">
        <f>M2542+M2533</f>
        <v>5.0299999999999994</v>
      </c>
      <c r="U127" s="1">
        <f>M2659+M2668</f>
        <v>3.7</v>
      </c>
      <c r="V127" s="1">
        <f>M3110+M3113+M3114</f>
        <v>34.750138888888891</v>
      </c>
      <c r="W127" s="1">
        <f>M3133+M3136+M3137</f>
        <v>20.405472222222222</v>
      </c>
      <c r="X127" s="1">
        <f t="shared" ref="X127:AF127" ca="1" si="79">OFFSET($M$2818,X115,0)+OFFSET($M$2819,X115,0)+OFFSET($M$2820,X115,0)+OFFSET($M$2822,X115,0)</f>
        <v>23.948848704783867</v>
      </c>
      <c r="Y127" s="1">
        <f t="shared" ca="1" si="79"/>
        <v>0</v>
      </c>
      <c r="Z127" s="1">
        <f t="shared" ca="1" si="79"/>
        <v>5.3631784169257219</v>
      </c>
      <c r="AA127" s="1">
        <f t="shared" ca="1" si="79"/>
        <v>18.501698630136971</v>
      </c>
      <c r="AB127" s="1">
        <f t="shared" ca="1" si="79"/>
        <v>0</v>
      </c>
      <c r="AC127" s="1">
        <f t="shared" ca="1" si="79"/>
        <v>0.27155258419988165</v>
      </c>
      <c r="AD127" s="1">
        <f t="shared" ca="1" si="79"/>
        <v>1.9962739726027361</v>
      </c>
      <c r="AE127" s="1">
        <f t="shared" ca="1" si="79"/>
        <v>0</v>
      </c>
      <c r="AF127" s="1">
        <f t="shared" ca="1" si="79"/>
        <v>0</v>
      </c>
      <c r="AG127" s="1"/>
      <c r="AT127" t="str">
        <f t="shared" si="63"/>
        <v>Gas, Fossils</v>
      </c>
      <c r="AU127">
        <f t="shared" si="47"/>
        <v>1.3837999999999999</v>
      </c>
      <c r="AV127">
        <f t="shared" si="47"/>
        <v>0</v>
      </c>
      <c r="AW127">
        <f t="shared" si="47"/>
        <v>15.4</v>
      </c>
      <c r="AX127">
        <f t="shared" si="47"/>
        <v>7.8</v>
      </c>
      <c r="AY127">
        <f t="shared" si="47"/>
        <v>0</v>
      </c>
      <c r="AZ127">
        <f t="shared" ca="1" si="47"/>
        <v>30.5</v>
      </c>
      <c r="BA127">
        <f t="shared" ca="1" si="48"/>
        <v>21.66</v>
      </c>
      <c r="BB127">
        <f t="shared" ca="1" si="47"/>
        <v>13.27</v>
      </c>
      <c r="BC127">
        <f t="shared" ca="1" si="49"/>
        <v>3.45</v>
      </c>
      <c r="BD127">
        <f t="shared" ca="1" si="50"/>
        <v>3.45</v>
      </c>
      <c r="BE127">
        <f t="shared" ca="1" si="51"/>
        <v>15.56</v>
      </c>
      <c r="BF127">
        <f t="shared" ca="1" si="47"/>
        <v>10.65</v>
      </c>
      <c r="BG127">
        <f t="shared" ca="1" si="52"/>
        <v>6</v>
      </c>
      <c r="BH127">
        <f t="shared" si="47"/>
        <v>0</v>
      </c>
      <c r="BI127">
        <f t="shared" si="47"/>
        <v>0.8</v>
      </c>
      <c r="BJ127">
        <f t="shared" si="47"/>
        <v>17.170000000000002</v>
      </c>
      <c r="BK127">
        <f t="shared" si="47"/>
        <v>5.0299999999999994</v>
      </c>
      <c r="BL127">
        <f t="shared" si="64"/>
        <v>3.7</v>
      </c>
      <c r="BM127">
        <f t="shared" si="53"/>
        <v>34.750138888888891</v>
      </c>
      <c r="BN127">
        <f t="shared" si="54"/>
        <v>20.405472222222222</v>
      </c>
      <c r="BO127">
        <f t="shared" ca="1" si="55"/>
        <v>23.948848704783867</v>
      </c>
      <c r="BP127">
        <f t="shared" ca="1" si="56"/>
        <v>18.501698630136971</v>
      </c>
      <c r="BQ127">
        <f t="shared" ca="1" si="57"/>
        <v>1.9962739726027361</v>
      </c>
      <c r="BR127">
        <f t="shared" ca="1" si="58"/>
        <v>0</v>
      </c>
      <c r="BS127">
        <f t="shared" ca="1" si="65"/>
        <v>0</v>
      </c>
      <c r="BT127">
        <f t="shared" ca="1" si="59"/>
        <v>0</v>
      </c>
      <c r="BU127">
        <f t="shared" ca="1" si="60"/>
        <v>5.3631784169257219</v>
      </c>
      <c r="BV127">
        <f t="shared" ca="1" si="61"/>
        <v>0.27155258419988165</v>
      </c>
      <c r="BW127">
        <f t="shared" ca="1" si="66"/>
        <v>0</v>
      </c>
    </row>
    <row r="128" spans="2:75" x14ac:dyDescent="0.2">
      <c r="C128" s="14" t="s">
        <v>958</v>
      </c>
      <c r="D128" s="14">
        <f>R78-R79</f>
        <v>-5.4909999999999997</v>
      </c>
      <c r="E128" s="80"/>
      <c r="F128" s="80">
        <f>M878</f>
        <v>22</v>
      </c>
      <c r="G128" s="80">
        <f>M885</f>
        <v>11</v>
      </c>
      <c r="H128" s="80">
        <f>M893</f>
        <v>-4</v>
      </c>
      <c r="I128" s="80">
        <f t="shared" ref="I128:P128" ca="1" si="80">OFFSET($M$1575,I115,0)</f>
        <v>0</v>
      </c>
      <c r="J128" s="80">
        <f t="shared" ca="1" si="80"/>
        <v>-1.59</v>
      </c>
      <c r="K128" s="80">
        <f t="shared" ca="1" si="80"/>
        <v>0</v>
      </c>
      <c r="L128" s="80">
        <f t="shared" ca="1" si="80"/>
        <v>-9.27</v>
      </c>
      <c r="M128" s="80">
        <f t="shared" ca="1" si="80"/>
        <v>-6.7099999999999991</v>
      </c>
      <c r="N128" s="80">
        <f t="shared" ca="1" si="80"/>
        <v>0</v>
      </c>
      <c r="O128" s="80">
        <f t="shared" ca="1" si="80"/>
        <v>-5.53</v>
      </c>
      <c r="P128" s="80">
        <f t="shared" ca="1" si="80"/>
        <v>1.67</v>
      </c>
      <c r="Q128" s="80">
        <f>M1018</f>
        <v>0</v>
      </c>
      <c r="R128" s="80">
        <f>M1130</f>
        <v>7.5</v>
      </c>
      <c r="S128" s="80">
        <f>M2609</f>
        <v>3.15</v>
      </c>
      <c r="T128" s="80">
        <f>M2546</f>
        <v>-3.33</v>
      </c>
      <c r="U128" s="80">
        <f>M2672</f>
        <v>-3.36</v>
      </c>
      <c r="V128" s="80"/>
      <c r="W128" s="80"/>
      <c r="X128" s="80">
        <f t="shared" ref="X128:AF128" ca="1" si="81">OFFSET($M$2834,X115,0)</f>
        <v>0</v>
      </c>
      <c r="Y128" s="80">
        <f t="shared" ca="1" si="81"/>
        <v>14.621296959403223</v>
      </c>
      <c r="Z128" s="80">
        <f t="shared" ca="1" si="81"/>
        <v>-5.6843418860808015E-14</v>
      </c>
      <c r="AA128" s="80">
        <f t="shared" ca="1" si="81"/>
        <v>0</v>
      </c>
      <c r="AB128" s="80">
        <f t="shared" ca="1" si="81"/>
        <v>4.9480449493787759</v>
      </c>
      <c r="AC128" s="80">
        <f t="shared" ca="1" si="81"/>
        <v>-2.8421709430404007E-14</v>
      </c>
      <c r="AD128" s="80">
        <f t="shared" ca="1" si="81"/>
        <v>0</v>
      </c>
      <c r="AE128" s="80">
        <f t="shared" ca="1" si="81"/>
        <v>0</v>
      </c>
      <c r="AF128" s="80">
        <f t="shared" ca="1" si="81"/>
        <v>-2.7355895326763857E-13</v>
      </c>
      <c r="AG128" s="83"/>
      <c r="AT128" t="str">
        <f t="shared" si="63"/>
        <v>Net import</v>
      </c>
      <c r="AU128">
        <f t="shared" si="47"/>
        <v>-5.4909999999999997</v>
      </c>
      <c r="AV128">
        <f t="shared" si="47"/>
        <v>0</v>
      </c>
      <c r="AW128">
        <f t="shared" si="47"/>
        <v>22</v>
      </c>
      <c r="AX128">
        <f t="shared" si="47"/>
        <v>11</v>
      </c>
      <c r="AY128">
        <f t="shared" si="47"/>
        <v>-4</v>
      </c>
      <c r="AZ128">
        <f t="shared" ca="1" si="47"/>
        <v>0</v>
      </c>
      <c r="BA128">
        <f t="shared" ca="1" si="48"/>
        <v>0</v>
      </c>
      <c r="BB128">
        <f t="shared" ca="1" si="47"/>
        <v>0</v>
      </c>
      <c r="BC128">
        <f t="shared" ca="1" si="49"/>
        <v>1.67</v>
      </c>
      <c r="BD128">
        <f t="shared" ca="1" si="50"/>
        <v>-6.7099999999999991</v>
      </c>
      <c r="BE128">
        <f t="shared" ca="1" si="51"/>
        <v>-1.59</v>
      </c>
      <c r="BF128">
        <f t="shared" ca="1" si="47"/>
        <v>-5.53</v>
      </c>
      <c r="BG128">
        <f t="shared" ca="1" si="52"/>
        <v>-9.27</v>
      </c>
      <c r="BH128">
        <f t="shared" si="47"/>
        <v>0</v>
      </c>
      <c r="BI128">
        <f t="shared" si="47"/>
        <v>7.5</v>
      </c>
      <c r="BJ128">
        <f t="shared" si="47"/>
        <v>3.15</v>
      </c>
      <c r="BK128">
        <f t="shared" si="47"/>
        <v>-3.33</v>
      </c>
      <c r="BL128">
        <f t="shared" si="64"/>
        <v>-3.36</v>
      </c>
      <c r="BM128">
        <f t="shared" si="53"/>
        <v>0</v>
      </c>
      <c r="BN128">
        <f t="shared" si="54"/>
        <v>0</v>
      </c>
      <c r="BO128">
        <f t="shared" ca="1" si="55"/>
        <v>0</v>
      </c>
      <c r="BP128">
        <f t="shared" ca="1" si="56"/>
        <v>0</v>
      </c>
      <c r="BQ128">
        <f t="shared" ca="1" si="57"/>
        <v>0</v>
      </c>
      <c r="BR128">
        <f t="shared" ca="1" si="58"/>
        <v>14.621296959403223</v>
      </c>
      <c r="BS128">
        <f t="shared" ca="1" si="65"/>
        <v>4.9480449493787759</v>
      </c>
      <c r="BT128">
        <f t="shared" ca="1" si="59"/>
        <v>0</v>
      </c>
      <c r="BU128">
        <f t="shared" ca="1" si="60"/>
        <v>-5.6843418860808015E-14</v>
      </c>
      <c r="BV128">
        <f t="shared" ca="1" si="61"/>
        <v>-2.8421709430404007E-14</v>
      </c>
      <c r="BW128">
        <f t="shared" ca="1" si="66"/>
        <v>-2.7355895326763857E-13</v>
      </c>
    </row>
    <row r="129" spans="2:75" x14ac:dyDescent="0.2">
      <c r="C129" t="s">
        <v>957</v>
      </c>
      <c r="D129" s="4">
        <f t="shared" ref="D129:R129" si="82">SUM(D117:D128)</f>
        <v>61.786999999999992</v>
      </c>
      <c r="E129" s="4">
        <f t="shared" si="82"/>
        <v>79</v>
      </c>
      <c r="F129" s="4">
        <f t="shared" si="82"/>
        <v>83.919999999999987</v>
      </c>
      <c r="G129" s="4">
        <f t="shared" si="82"/>
        <v>74.62</v>
      </c>
      <c r="H129" s="4">
        <f t="shared" si="82"/>
        <v>63.120000000000005</v>
      </c>
      <c r="I129" s="6">
        <f t="shared" ca="1" si="82"/>
        <v>74.789999999999992</v>
      </c>
      <c r="J129" s="6">
        <f t="shared" ca="1" si="82"/>
        <v>74.8</v>
      </c>
      <c r="K129" s="6">
        <f t="shared" ca="1" si="82"/>
        <v>57.56</v>
      </c>
      <c r="L129" s="6">
        <f t="shared" ca="1" si="82"/>
        <v>57.56</v>
      </c>
      <c r="M129" s="6">
        <f t="shared" ca="1" si="82"/>
        <v>57.57</v>
      </c>
      <c r="N129" s="6">
        <f t="shared" ca="1" si="82"/>
        <v>65.95</v>
      </c>
      <c r="O129" s="6">
        <f t="shared" ca="1" si="82"/>
        <v>65.95</v>
      </c>
      <c r="P129" s="6">
        <f t="shared" ca="1" si="82"/>
        <v>65.95</v>
      </c>
      <c r="Q129" s="6">
        <f t="shared" si="82"/>
        <v>72.47</v>
      </c>
      <c r="R129" s="6">
        <f t="shared" si="82"/>
        <v>77.006</v>
      </c>
      <c r="S129" s="6">
        <f>SUM(S117:S128)</f>
        <v>78.259999999999991</v>
      </c>
      <c r="T129" s="6">
        <f>SUM(T117:T128)</f>
        <v>60.53</v>
      </c>
      <c r="U129" s="6">
        <f>SUM(U117:U128)</f>
        <v>63.66</v>
      </c>
      <c r="V129" s="6">
        <f>SUM(V117:V128)</f>
        <v>84.504055555555567</v>
      </c>
      <c r="W129" s="6">
        <f>SUM(W117:W128)</f>
        <v>76.410499999999985</v>
      </c>
      <c r="X129" s="6">
        <f t="shared" ref="X129:AF129" ca="1" si="83">SUM(X118:X128)</f>
        <v>72.915720063806148</v>
      </c>
      <c r="Y129" s="6">
        <f t="shared" ca="1" si="83"/>
        <v>72.915720063772739</v>
      </c>
      <c r="Z129" s="6">
        <f t="shared" ca="1" si="83"/>
        <v>72.915720063817929</v>
      </c>
      <c r="AA129" s="6">
        <f t="shared" ca="1" si="83"/>
        <v>64.401653352455099</v>
      </c>
      <c r="AB129" s="6">
        <f t="shared" ca="1" si="83"/>
        <v>64.401653352418435</v>
      </c>
      <c r="AC129" s="6">
        <f t="shared" ca="1" si="83"/>
        <v>64.401653352475037</v>
      </c>
      <c r="AD129" s="6">
        <f t="shared" ca="1" si="83"/>
        <v>56.817674868853075</v>
      </c>
      <c r="AE129" s="6">
        <f t="shared" ca="1" si="83"/>
        <v>56.817674868833734</v>
      </c>
      <c r="AF129" s="6">
        <f t="shared" ca="1" si="83"/>
        <v>57.987918357277749</v>
      </c>
      <c r="AG129" s="6"/>
    </row>
    <row r="130" spans="2:75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75" x14ac:dyDescent="0.2">
      <c r="C131" s="25" t="s">
        <v>953</v>
      </c>
      <c r="D131" t="s">
        <v>952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2:75" x14ac:dyDescent="0.2">
      <c r="D132" t="s">
        <v>955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2:75" x14ac:dyDescent="0.2">
      <c r="D133" t="s">
        <v>956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2:75" x14ac:dyDescent="0.2">
      <c r="D134" t="s">
        <v>970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2:75" x14ac:dyDescent="0.2"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75" x14ac:dyDescent="0.2">
      <c r="B136" s="99" t="s">
        <v>949</v>
      </c>
      <c r="C136" s="14"/>
      <c r="D136" s="14"/>
      <c r="E136" s="14"/>
      <c r="F136" s="14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2:75" x14ac:dyDescent="0.2"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75" ht="15" x14ac:dyDescent="0.25">
      <c r="B138" s="2" t="s">
        <v>972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75" ht="15" x14ac:dyDescent="0.25">
      <c r="B139" s="13" t="s">
        <v>128</v>
      </c>
      <c r="D139" s="2">
        <v>2014</v>
      </c>
      <c r="E139" s="2" t="str">
        <f>E116</f>
        <v>ETH/ESC, mittel</v>
      </c>
      <c r="F139" s="2" t="str">
        <f t="shared" ref="F139:R139" si="84">F116</f>
        <v>VSE, Szen.1</v>
      </c>
      <c r="G139" s="2" t="str">
        <f t="shared" si="84"/>
        <v>VSE, Szen.2</v>
      </c>
      <c r="H139" s="2" t="str">
        <f t="shared" si="84"/>
        <v>VSE, Szen.3</v>
      </c>
      <c r="I139" s="2" t="str">
        <f t="shared" si="84"/>
        <v xml:space="preserve">BFE, WWB+C    </v>
      </c>
      <c r="J139" s="2" t="str">
        <f t="shared" si="84"/>
        <v>BFE, WWB+C+E</v>
      </c>
      <c r="K139" s="2" t="str">
        <f t="shared" si="84"/>
        <v xml:space="preserve">BFE, NEP+C     </v>
      </c>
      <c r="L139" s="2" t="str">
        <f t="shared" si="84"/>
        <v>BFE, NEP+C+E</v>
      </c>
      <c r="M139" s="2" t="str">
        <f t="shared" si="84"/>
        <v xml:space="preserve">BFE, NEP+E     </v>
      </c>
      <c r="N139" s="2" t="str">
        <f t="shared" si="84"/>
        <v xml:space="preserve">BFE, POM+C    </v>
      </c>
      <c r="O139" s="2" t="str">
        <f t="shared" si="84"/>
        <v>BFE, POM+C+E</v>
      </c>
      <c r="P139" s="2" t="str">
        <f t="shared" si="84"/>
        <v xml:space="preserve">BFE, POM+E    </v>
      </c>
      <c r="Q139" s="2" t="str">
        <f t="shared" si="84"/>
        <v>Cleantech</v>
      </c>
      <c r="R139" s="2" t="str">
        <f t="shared" si="84"/>
        <v>Greenpeace</v>
      </c>
      <c r="S139" s="50" t="str">
        <f>V116</f>
        <v>PSI-sys, noClimPol</v>
      </c>
      <c r="T139" s="50" t="str">
        <f t="shared" ref="T139:AC139" si="85">W116</f>
        <v>PSI-sys, -50% CO2</v>
      </c>
      <c r="U139" s="50" t="str">
        <f t="shared" si="85"/>
        <v>PSI-elc, WWB+Gas</v>
      </c>
      <c r="V139" s="50" t="str">
        <f t="shared" si="85"/>
        <v>PSI-elc, WWB+Imp</v>
      </c>
      <c r="W139" s="50" t="str">
        <f t="shared" si="85"/>
        <v>PSI-elc, WWB+Nuc</v>
      </c>
      <c r="X139" s="50" t="str">
        <f t="shared" si="85"/>
        <v>PSI-elc, POM+Gas</v>
      </c>
      <c r="Y139" s="50" t="str">
        <f t="shared" si="85"/>
        <v>PSI-elc, POM+Imp</v>
      </c>
      <c r="Z139" s="50" t="str">
        <f t="shared" si="85"/>
        <v>PSI-elc, POM+Nuc</v>
      </c>
      <c r="AA139" s="50" t="str">
        <f t="shared" si="85"/>
        <v>PSI-elc, NEP+Gas</v>
      </c>
      <c r="AB139" s="50" t="str">
        <f t="shared" si="85"/>
        <v>PSI-elc, NEP+Imp</v>
      </c>
      <c r="AC139" s="50" t="str">
        <f t="shared" si="85"/>
        <v>PSI-elc, NEP+Nuc</v>
      </c>
      <c r="AU139">
        <f t="shared" ref="AU139:AU151" si="86">D139</f>
        <v>2014</v>
      </c>
      <c r="AV139" s="160" t="str">
        <f t="shared" ref="AV139:AV151" si="87">E139</f>
        <v>ETH/ESC, mittel</v>
      </c>
      <c r="AW139" s="160" t="str">
        <f t="shared" ref="AW139:AW151" si="88">F139</f>
        <v>VSE, Szen.1</v>
      </c>
      <c r="AX139" s="160" t="str">
        <f t="shared" ref="AX139:AX151" si="89">G139</f>
        <v>VSE, Szen.2</v>
      </c>
      <c r="AY139" s="160" t="str">
        <f t="shared" ref="AY139:AY151" si="90">H139</f>
        <v>VSE, Szen.3</v>
      </c>
      <c r="AZ139" s="160" t="str">
        <f t="shared" ref="AZ139:AZ151" si="91">I139</f>
        <v xml:space="preserve">BFE, WWB+C    </v>
      </c>
      <c r="BA139" s="160" t="str">
        <f t="shared" ref="BA139:BA151" si="92">N139</f>
        <v xml:space="preserve">BFE, POM+C    </v>
      </c>
      <c r="BB139" s="160" t="str">
        <f t="shared" ref="BB139:BB151" si="93">K139</f>
        <v xml:space="preserve">BFE, NEP+C     </v>
      </c>
      <c r="BC139" s="160" t="str">
        <f t="shared" ref="BC139:BC151" si="94">P139</f>
        <v xml:space="preserve">BFE, POM+E    </v>
      </c>
      <c r="BD139" s="160" t="str">
        <f t="shared" ref="BD139:BD151" si="95">M139</f>
        <v xml:space="preserve">BFE, NEP+E     </v>
      </c>
      <c r="BE139" s="160" t="str">
        <f t="shared" ref="BE139:BE151" si="96">J139</f>
        <v>BFE, WWB+C+E</v>
      </c>
      <c r="BF139" s="160" t="str">
        <f t="shared" ref="BF139:BF151" si="97">O139</f>
        <v>BFE, POM+C+E</v>
      </c>
      <c r="BG139" s="160" t="str">
        <f t="shared" ref="BG139:BG151" si="98">L139</f>
        <v>BFE, NEP+C+E</v>
      </c>
      <c r="BH139" s="160" t="str">
        <f t="shared" ref="BH139:BH151" si="99">Q139</f>
        <v>Cleantech</v>
      </c>
      <c r="BI139" s="160" t="str">
        <f t="shared" ref="BI139:BI151" si="100">R139</f>
        <v>Greenpeace</v>
      </c>
      <c r="BJ139" s="160" t="str">
        <f t="shared" ref="BJ139:BJ151" si="101">S139</f>
        <v>PSI-sys, noClimPol</v>
      </c>
      <c r="BK139" s="160" t="str">
        <f t="shared" ref="BK139:BK151" si="102">T139</f>
        <v>PSI-sys, -50% CO2</v>
      </c>
      <c r="BL139" s="160" t="str">
        <f t="shared" ref="BL139:BL151" si="103">U139</f>
        <v>PSI-elc, WWB+Gas</v>
      </c>
      <c r="BM139" s="160" t="str">
        <f t="shared" ref="BM139:BM151" si="104">X139</f>
        <v>PSI-elc, POM+Gas</v>
      </c>
      <c r="BN139" s="160" t="str">
        <f t="shared" ref="BN139:BN151" si="105">AA139</f>
        <v>PSI-elc, NEP+Gas</v>
      </c>
      <c r="BO139" s="160" t="str">
        <f t="shared" ref="BO139:BO151" si="106">V139</f>
        <v>PSI-elc, WWB+Imp</v>
      </c>
      <c r="BP139" s="160" t="str">
        <f>Y139</f>
        <v>PSI-elc, POM+Imp</v>
      </c>
      <c r="BQ139" s="160" t="str">
        <f t="shared" ref="BQ139:BQ151" si="107">AB139</f>
        <v>PSI-elc, NEP+Imp</v>
      </c>
      <c r="BR139" s="160" t="str">
        <f t="shared" ref="BR139:BR151" si="108">W139</f>
        <v>PSI-elc, WWB+Nuc</v>
      </c>
      <c r="BS139" s="160" t="str">
        <f t="shared" ref="BS139:BS151" si="109">Z139</f>
        <v>PSI-elc, POM+Nuc</v>
      </c>
      <c r="BT139" s="160" t="str">
        <f>AC139</f>
        <v>PSI-elc, NEP+Nuc</v>
      </c>
      <c r="BU139" s="160"/>
      <c r="BV139" s="160"/>
      <c r="BW139" s="160"/>
    </row>
    <row r="140" spans="2:75" x14ac:dyDescent="0.2">
      <c r="C140" t="s">
        <v>934</v>
      </c>
      <c r="E140" s="1">
        <f>K689</f>
        <v>39</v>
      </c>
      <c r="F140" s="1"/>
      <c r="G140" s="1"/>
      <c r="H140" s="1"/>
      <c r="I140" s="1">
        <f t="shared" ref="I140:P140" ca="1" si="110">OFFSET($K$1546,I115,0)++OFFSET($K$1567,I115,0)</f>
        <v>34.32</v>
      </c>
      <c r="J140" s="1">
        <f t="shared" ca="1" si="110"/>
        <v>35.9</v>
      </c>
      <c r="K140" s="1">
        <f t="shared" ca="1" si="110"/>
        <v>34.32</v>
      </c>
      <c r="L140" s="1">
        <f t="shared" ca="1" si="110"/>
        <v>35.9</v>
      </c>
      <c r="M140" s="1">
        <f t="shared" ca="1" si="110"/>
        <v>35.9</v>
      </c>
      <c r="N140" s="1">
        <f t="shared" ca="1" si="110"/>
        <v>34.32</v>
      </c>
      <c r="O140" s="1">
        <f t="shared" ca="1" si="110"/>
        <v>35.9</v>
      </c>
      <c r="P140" s="1">
        <f t="shared" ca="1" si="110"/>
        <v>35.9</v>
      </c>
      <c r="Q140" s="1">
        <f>K1019+K1020</f>
        <v>34.33</v>
      </c>
      <c r="R140" s="1">
        <f>K1124-N65</f>
        <v>34.506</v>
      </c>
      <c r="S140" s="1">
        <f>K3111</f>
        <v>35.784333333333329</v>
      </c>
      <c r="T140" s="1">
        <f>K3134</f>
        <v>37.322694444444444</v>
      </c>
      <c r="AT140" t="str">
        <f t="shared" ref="AT140:AT151" si="111">C140</f>
        <v>Hydro</v>
      </c>
      <c r="AU140">
        <f t="shared" si="86"/>
        <v>0</v>
      </c>
      <c r="AV140">
        <f t="shared" si="87"/>
        <v>39</v>
      </c>
      <c r="AW140">
        <f t="shared" si="88"/>
        <v>0</v>
      </c>
      <c r="AX140">
        <f t="shared" si="89"/>
        <v>0</v>
      </c>
      <c r="AY140">
        <f t="shared" si="90"/>
        <v>0</v>
      </c>
      <c r="AZ140">
        <f t="shared" ca="1" si="91"/>
        <v>34.32</v>
      </c>
      <c r="BA140">
        <f t="shared" ca="1" si="92"/>
        <v>34.32</v>
      </c>
      <c r="BB140">
        <f t="shared" ca="1" si="93"/>
        <v>34.32</v>
      </c>
      <c r="BC140">
        <f t="shared" ca="1" si="94"/>
        <v>35.9</v>
      </c>
      <c r="BD140">
        <f t="shared" ca="1" si="95"/>
        <v>35.9</v>
      </c>
      <c r="BE140">
        <f t="shared" ca="1" si="96"/>
        <v>35.9</v>
      </c>
      <c r="BF140">
        <f t="shared" ca="1" si="97"/>
        <v>35.9</v>
      </c>
      <c r="BG140">
        <f t="shared" ca="1" si="98"/>
        <v>35.9</v>
      </c>
      <c r="BH140">
        <f t="shared" si="99"/>
        <v>34.33</v>
      </c>
      <c r="BI140">
        <f t="shared" si="100"/>
        <v>34.506</v>
      </c>
      <c r="BJ140">
        <f t="shared" si="101"/>
        <v>35.784333333333329</v>
      </c>
      <c r="BK140">
        <f t="shared" si="102"/>
        <v>37.322694444444444</v>
      </c>
      <c r="BL140">
        <f t="shared" si="103"/>
        <v>0</v>
      </c>
      <c r="BM140">
        <f t="shared" si="104"/>
        <v>0</v>
      </c>
      <c r="BN140">
        <f t="shared" si="105"/>
        <v>0</v>
      </c>
      <c r="BO140">
        <f t="shared" si="106"/>
        <v>0</v>
      </c>
      <c r="BP140">
        <f t="shared" ref="BP140:BP151" si="112">Y140</f>
        <v>0</v>
      </c>
      <c r="BQ140">
        <f t="shared" si="107"/>
        <v>0</v>
      </c>
      <c r="BR140">
        <f t="shared" si="108"/>
        <v>0</v>
      </c>
      <c r="BS140">
        <f t="shared" si="109"/>
        <v>0</v>
      </c>
      <c r="BT140">
        <f t="shared" ref="BT140:BT151" si="113">AC140</f>
        <v>0</v>
      </c>
    </row>
    <row r="141" spans="2:75" x14ac:dyDescent="0.2">
      <c r="C141" t="s">
        <v>961</v>
      </c>
      <c r="D141" s="25">
        <f>R63</f>
        <v>17.242999999999999</v>
      </c>
      <c r="E141" s="1"/>
      <c r="F141" s="1">
        <f>K873</f>
        <v>17</v>
      </c>
      <c r="G141" s="1">
        <f>K880</f>
        <v>17.333333333333332</v>
      </c>
      <c r="H141" s="1">
        <f>K888</f>
        <v>19.333333333333332</v>
      </c>
      <c r="I141" s="1"/>
      <c r="J141" s="1"/>
      <c r="K141" s="1"/>
      <c r="L141" s="1"/>
      <c r="M141" s="1"/>
      <c r="N141" s="1"/>
      <c r="O141" s="1"/>
      <c r="P141" s="1"/>
      <c r="Q141" s="1"/>
      <c r="S141" s="1"/>
      <c r="T141" s="1"/>
      <c r="U141" s="1">
        <f t="shared" ref="U141:AC141" ca="1" si="114">OFFSET($K$2828,X115,0)</f>
        <v>18.555983333333312</v>
      </c>
      <c r="V141" s="1">
        <f t="shared" ca="1" si="114"/>
        <v>18.555983333333312</v>
      </c>
      <c r="W141" s="1">
        <f t="shared" ca="1" si="114"/>
        <v>18.555983333333312</v>
      </c>
      <c r="X141" s="1">
        <f t="shared" ca="1" si="114"/>
        <v>18.555983333333312</v>
      </c>
      <c r="Y141" s="1">
        <f t="shared" ca="1" si="114"/>
        <v>18.555983333333312</v>
      </c>
      <c r="Z141" s="1">
        <f t="shared" ca="1" si="114"/>
        <v>18.555983333333312</v>
      </c>
      <c r="AA141" s="1">
        <f t="shared" ca="1" si="114"/>
        <v>18.555983333333312</v>
      </c>
      <c r="AB141" s="1">
        <f t="shared" ca="1" si="114"/>
        <v>18.555983333333312</v>
      </c>
      <c r="AC141" s="1">
        <f t="shared" ca="1" si="114"/>
        <v>18.555983333333312</v>
      </c>
      <c r="AT141" t="str">
        <f t="shared" si="111"/>
        <v>Hydro river</v>
      </c>
      <c r="AU141">
        <f t="shared" si="86"/>
        <v>17.242999999999999</v>
      </c>
      <c r="AV141">
        <f t="shared" si="87"/>
        <v>0</v>
      </c>
      <c r="AW141">
        <f t="shared" si="88"/>
        <v>17</v>
      </c>
      <c r="AX141">
        <f t="shared" si="89"/>
        <v>17.333333333333332</v>
      </c>
      <c r="AY141">
        <f t="shared" si="90"/>
        <v>19.333333333333332</v>
      </c>
      <c r="AZ141">
        <f t="shared" si="91"/>
        <v>0</v>
      </c>
      <c r="BA141">
        <f t="shared" si="92"/>
        <v>0</v>
      </c>
      <c r="BB141">
        <f t="shared" si="93"/>
        <v>0</v>
      </c>
      <c r="BC141">
        <f t="shared" si="94"/>
        <v>0</v>
      </c>
      <c r="BD141">
        <f t="shared" si="95"/>
        <v>0</v>
      </c>
      <c r="BE141">
        <f t="shared" si="96"/>
        <v>0</v>
      </c>
      <c r="BF141">
        <f t="shared" si="97"/>
        <v>0</v>
      </c>
      <c r="BG141">
        <f t="shared" si="98"/>
        <v>0</v>
      </c>
      <c r="BH141">
        <f t="shared" si="99"/>
        <v>0</v>
      </c>
      <c r="BI141">
        <f t="shared" si="100"/>
        <v>0</v>
      </c>
      <c r="BJ141">
        <f t="shared" si="101"/>
        <v>0</v>
      </c>
      <c r="BK141">
        <f t="shared" si="102"/>
        <v>0</v>
      </c>
      <c r="BL141">
        <f t="shared" ca="1" si="103"/>
        <v>18.555983333333312</v>
      </c>
      <c r="BM141">
        <f t="shared" ca="1" si="104"/>
        <v>18.555983333333312</v>
      </c>
      <c r="BN141">
        <f t="shared" ca="1" si="105"/>
        <v>18.555983333333312</v>
      </c>
      <c r="BO141">
        <f t="shared" ca="1" si="106"/>
        <v>18.555983333333312</v>
      </c>
      <c r="BP141">
        <f t="shared" ca="1" si="112"/>
        <v>18.555983333333312</v>
      </c>
      <c r="BQ141">
        <f t="shared" ca="1" si="107"/>
        <v>18.555983333333312</v>
      </c>
      <c r="BR141">
        <f t="shared" ca="1" si="108"/>
        <v>18.555983333333312</v>
      </c>
      <c r="BS141">
        <f t="shared" ca="1" si="109"/>
        <v>18.555983333333312</v>
      </c>
      <c r="BT141">
        <f t="shared" ca="1" si="113"/>
        <v>18.555983333333312</v>
      </c>
    </row>
    <row r="142" spans="2:75" x14ac:dyDescent="0.2">
      <c r="C142" t="s">
        <v>936</v>
      </c>
      <c r="D142">
        <f>R66</f>
        <v>19.71</v>
      </c>
      <c r="E142" s="1"/>
      <c r="F142" s="1">
        <f>K872</f>
        <v>18.033333333333331</v>
      </c>
      <c r="G142" s="1">
        <f>K879</f>
        <v>18.666666666666664</v>
      </c>
      <c r="H142" s="1">
        <f>K887</f>
        <v>19.399999999999999</v>
      </c>
      <c r="I142" s="1"/>
      <c r="J142" s="1"/>
      <c r="K142" s="1"/>
      <c r="L142" s="1"/>
      <c r="M142" s="1"/>
      <c r="N142" s="1"/>
      <c r="O142" s="1"/>
      <c r="P142" s="1"/>
      <c r="Q142" s="1"/>
      <c r="S142" s="1"/>
      <c r="T142" s="1"/>
      <c r="U142" s="1">
        <f t="shared" ref="U142:AC142" ca="1" si="115">OFFSET($K$2829,X115,0)+OFFSET($K$2830,X115,0)+OFFSET($K$2831,X115,0)</f>
        <v>18.617442337237257</v>
      </c>
      <c r="V142" s="1">
        <f t="shared" ca="1" si="115"/>
        <v>19.368587469608915</v>
      </c>
      <c r="W142" s="1">
        <f t="shared" ca="1" si="115"/>
        <v>18.238513436523959</v>
      </c>
      <c r="X142" s="1">
        <f t="shared" ca="1" si="115"/>
        <v>18.525038021234192</v>
      </c>
      <c r="Y142" s="1">
        <f t="shared" ca="1" si="115"/>
        <v>19.391047145909628</v>
      </c>
      <c r="Z142" s="1">
        <f t="shared" ca="1" si="115"/>
        <v>17.989166552397126</v>
      </c>
      <c r="AA142" s="1">
        <f t="shared" ca="1" si="115"/>
        <v>18.912987411024112</v>
      </c>
      <c r="AB142" s="1">
        <f t="shared" ca="1" si="115"/>
        <v>19.373427855716596</v>
      </c>
      <c r="AC142" s="1">
        <f t="shared" ca="1" si="115"/>
        <v>17.941823333347067</v>
      </c>
      <c r="AT142" t="str">
        <f t="shared" si="111"/>
        <v>Hydro storage</v>
      </c>
      <c r="AU142">
        <f t="shared" si="86"/>
        <v>19.71</v>
      </c>
      <c r="AV142">
        <f t="shared" si="87"/>
        <v>0</v>
      </c>
      <c r="AW142">
        <f t="shared" si="88"/>
        <v>18.033333333333331</v>
      </c>
      <c r="AX142">
        <f t="shared" si="89"/>
        <v>18.666666666666664</v>
      </c>
      <c r="AY142">
        <f t="shared" si="90"/>
        <v>19.399999999999999</v>
      </c>
      <c r="AZ142">
        <f t="shared" si="91"/>
        <v>0</v>
      </c>
      <c r="BA142">
        <f t="shared" si="92"/>
        <v>0</v>
      </c>
      <c r="BB142">
        <f t="shared" si="93"/>
        <v>0</v>
      </c>
      <c r="BC142">
        <f t="shared" si="94"/>
        <v>0</v>
      </c>
      <c r="BD142">
        <f t="shared" si="95"/>
        <v>0</v>
      </c>
      <c r="BE142">
        <f t="shared" si="96"/>
        <v>0</v>
      </c>
      <c r="BF142">
        <f t="shared" si="97"/>
        <v>0</v>
      </c>
      <c r="BG142">
        <f t="shared" si="98"/>
        <v>0</v>
      </c>
      <c r="BH142">
        <f t="shared" si="99"/>
        <v>0</v>
      </c>
      <c r="BI142">
        <f t="shared" si="100"/>
        <v>0</v>
      </c>
      <c r="BJ142">
        <f t="shared" si="101"/>
        <v>0</v>
      </c>
      <c r="BK142">
        <f t="shared" si="102"/>
        <v>0</v>
      </c>
      <c r="BL142">
        <f t="shared" ca="1" si="103"/>
        <v>18.617442337237257</v>
      </c>
      <c r="BM142">
        <f t="shared" ca="1" si="104"/>
        <v>18.525038021234192</v>
      </c>
      <c r="BN142">
        <f t="shared" ca="1" si="105"/>
        <v>18.912987411024112</v>
      </c>
      <c r="BO142">
        <f t="shared" ca="1" si="106"/>
        <v>19.368587469608915</v>
      </c>
      <c r="BP142">
        <f t="shared" ca="1" si="112"/>
        <v>19.391047145909628</v>
      </c>
      <c r="BQ142">
        <f t="shared" ca="1" si="107"/>
        <v>19.373427855716596</v>
      </c>
      <c r="BR142">
        <f t="shared" ca="1" si="108"/>
        <v>18.238513436523959</v>
      </c>
      <c r="BS142">
        <f t="shared" ca="1" si="109"/>
        <v>17.989166552397126</v>
      </c>
      <c r="BT142">
        <f t="shared" ca="1" si="113"/>
        <v>17.941823333347067</v>
      </c>
    </row>
    <row r="143" spans="2:75" x14ac:dyDescent="0.2">
      <c r="C143" t="s">
        <v>935</v>
      </c>
      <c r="D143">
        <f>R62</f>
        <v>26.37</v>
      </c>
      <c r="E143" s="1">
        <f>K686</f>
        <v>6</v>
      </c>
      <c r="F143" s="1">
        <f>K871</f>
        <v>0</v>
      </c>
      <c r="G143" s="1">
        <f>K871</f>
        <v>0</v>
      </c>
      <c r="H143" s="1">
        <f>K871</f>
        <v>0</v>
      </c>
      <c r="I143" s="1">
        <f t="shared" ref="I143:P143" ca="1" si="116">OFFSET($K$1549,I115,0)</f>
        <v>0</v>
      </c>
      <c r="J143" s="1">
        <f t="shared" ca="1" si="116"/>
        <v>0</v>
      </c>
      <c r="K143" s="1">
        <f t="shared" ca="1" si="116"/>
        <v>0</v>
      </c>
      <c r="L143" s="1">
        <f t="shared" ca="1" si="116"/>
        <v>0</v>
      </c>
      <c r="M143" s="1">
        <f t="shared" ca="1" si="116"/>
        <v>0</v>
      </c>
      <c r="N143" s="1">
        <f t="shared" ca="1" si="116"/>
        <v>0</v>
      </c>
      <c r="O143" s="1">
        <f t="shared" ca="1" si="116"/>
        <v>0</v>
      </c>
      <c r="P143" s="1">
        <f t="shared" ca="1" si="116"/>
        <v>0</v>
      </c>
      <c r="Q143" s="1">
        <f>K1017</f>
        <v>0</v>
      </c>
      <c r="R143" s="1">
        <f>K1121</f>
        <v>0</v>
      </c>
      <c r="S143" s="1">
        <f>K3112</f>
        <v>0</v>
      </c>
      <c r="T143" s="1">
        <f>K3135</f>
        <v>0</v>
      </c>
      <c r="U143" s="1">
        <f t="shared" ref="U143:AC143" ca="1" si="117">OFFSET($K$2821,X115,0)</f>
        <v>2.6069444444444443</v>
      </c>
      <c r="V143" s="1">
        <f t="shared" ca="1" si="117"/>
        <v>2.6069444444444443</v>
      </c>
      <c r="W143" s="1">
        <f t="shared" ca="1" si="117"/>
        <v>25.032544444444472</v>
      </c>
      <c r="X143" s="1">
        <f t="shared" ca="1" si="117"/>
        <v>2.6069444444444443</v>
      </c>
      <c r="Y143" s="1">
        <f t="shared" ca="1" si="117"/>
        <v>2.6069444444444443</v>
      </c>
      <c r="Z143" s="1">
        <f t="shared" ca="1" si="117"/>
        <v>24.599333333333359</v>
      </c>
      <c r="AA143" s="1">
        <f t="shared" ca="1" si="117"/>
        <v>2.6069444444444443</v>
      </c>
      <c r="AB143" s="1">
        <f t="shared" ca="1" si="117"/>
        <v>2.6069444444444443</v>
      </c>
      <c r="AC143" s="1">
        <f t="shared" ca="1" si="117"/>
        <v>22.402784952536738</v>
      </c>
      <c r="AT143" t="str">
        <f t="shared" si="111"/>
        <v>Nuclear</v>
      </c>
      <c r="AU143">
        <f t="shared" si="86"/>
        <v>26.37</v>
      </c>
      <c r="AV143">
        <f t="shared" si="87"/>
        <v>6</v>
      </c>
      <c r="AW143">
        <f t="shared" si="88"/>
        <v>0</v>
      </c>
      <c r="AX143">
        <f t="shared" si="89"/>
        <v>0</v>
      </c>
      <c r="AY143">
        <f t="shared" si="90"/>
        <v>0</v>
      </c>
      <c r="AZ143">
        <f t="shared" ca="1" si="91"/>
        <v>0</v>
      </c>
      <c r="BA143">
        <f t="shared" ca="1" si="92"/>
        <v>0</v>
      </c>
      <c r="BB143">
        <f t="shared" ca="1" si="93"/>
        <v>0</v>
      </c>
      <c r="BC143">
        <f t="shared" ca="1" si="94"/>
        <v>0</v>
      </c>
      <c r="BD143">
        <f t="shared" ca="1" si="95"/>
        <v>0</v>
      </c>
      <c r="BE143">
        <f t="shared" ca="1" si="96"/>
        <v>0</v>
      </c>
      <c r="BF143">
        <f t="shared" ca="1" si="97"/>
        <v>0</v>
      </c>
      <c r="BG143">
        <f t="shared" ca="1" si="98"/>
        <v>0</v>
      </c>
      <c r="BH143">
        <f t="shared" si="99"/>
        <v>0</v>
      </c>
      <c r="BI143">
        <f t="shared" si="100"/>
        <v>0</v>
      </c>
      <c r="BJ143">
        <f t="shared" si="101"/>
        <v>0</v>
      </c>
      <c r="BK143">
        <f t="shared" si="102"/>
        <v>0</v>
      </c>
      <c r="BL143">
        <f t="shared" ca="1" si="103"/>
        <v>2.6069444444444443</v>
      </c>
      <c r="BM143">
        <f t="shared" ca="1" si="104"/>
        <v>2.6069444444444443</v>
      </c>
      <c r="BN143">
        <f t="shared" ca="1" si="105"/>
        <v>2.6069444444444443</v>
      </c>
      <c r="BO143">
        <f t="shared" ca="1" si="106"/>
        <v>2.6069444444444443</v>
      </c>
      <c r="BP143">
        <f t="shared" ca="1" si="112"/>
        <v>2.6069444444444443</v>
      </c>
      <c r="BQ143">
        <f t="shared" ca="1" si="107"/>
        <v>2.6069444444444443</v>
      </c>
      <c r="BR143">
        <f t="shared" ca="1" si="108"/>
        <v>25.032544444444472</v>
      </c>
      <c r="BS143">
        <f t="shared" ca="1" si="109"/>
        <v>24.599333333333359</v>
      </c>
      <c r="BT143">
        <f t="shared" ca="1" si="113"/>
        <v>22.402784952536738</v>
      </c>
    </row>
    <row r="144" spans="2:75" x14ac:dyDescent="0.2">
      <c r="C144" t="s">
        <v>7</v>
      </c>
      <c r="D144" s="25">
        <f>R74</f>
        <v>0.84160000000000001</v>
      </c>
      <c r="E144" s="1">
        <f>K690</f>
        <v>8.6666666666666643</v>
      </c>
      <c r="F144" s="1">
        <f>K876</f>
        <v>1.78</v>
      </c>
      <c r="G144" s="1">
        <f>K883</f>
        <v>3.8133333333333335</v>
      </c>
      <c r="H144" s="1">
        <f>K891</f>
        <v>6.1133333333333333</v>
      </c>
      <c r="I144" s="1">
        <f t="shared" ref="I144:P144" ca="1" si="118">OFFSET($K$1557,I115,0)</f>
        <v>3.48</v>
      </c>
      <c r="J144" s="1">
        <f t="shared" ca="1" si="118"/>
        <v>6.74</v>
      </c>
      <c r="K144" s="1">
        <f t="shared" ca="1" si="118"/>
        <v>3.48</v>
      </c>
      <c r="L144" s="1">
        <f t="shared" ca="1" si="118"/>
        <v>6.74</v>
      </c>
      <c r="M144" s="1">
        <f t="shared" ca="1" si="118"/>
        <v>6.74</v>
      </c>
      <c r="N144" s="1">
        <f t="shared" ca="1" si="118"/>
        <v>3.48</v>
      </c>
      <c r="O144" s="1">
        <f t="shared" ca="1" si="118"/>
        <v>6.74</v>
      </c>
      <c r="P144" s="1">
        <f t="shared" ca="1" si="118"/>
        <v>6.74</v>
      </c>
      <c r="Q144" s="1">
        <f>K1021</f>
        <v>17.309999999999999</v>
      </c>
      <c r="R144" s="1">
        <f>K1126</f>
        <v>16</v>
      </c>
      <c r="S144" s="1">
        <f>K3117</f>
        <v>2.0750000000000001E-2</v>
      </c>
      <c r="T144" s="1">
        <f>K3140</f>
        <v>13.69236111111111</v>
      </c>
      <c r="U144" s="1">
        <f t="shared" ref="U144:AC144" ca="1" si="119">OFFSET($K$2824,X115,0)</f>
        <v>5.9148788974210182</v>
      </c>
      <c r="V144" s="1">
        <f t="shared" ca="1" si="119"/>
        <v>6.6270975073452592</v>
      </c>
      <c r="W144" s="1">
        <f t="shared" ca="1" si="119"/>
        <v>2.8287942855237773</v>
      </c>
      <c r="X144" s="1">
        <f t="shared" ca="1" si="119"/>
        <v>5.3319812430283058</v>
      </c>
      <c r="Y144" s="1">
        <f t="shared" ca="1" si="119"/>
        <v>6.6270975073452592</v>
      </c>
      <c r="Z144" s="1">
        <f t="shared" ca="1" si="119"/>
        <v>1.0486348650829795E-3</v>
      </c>
      <c r="AA144" s="1">
        <f t="shared" ca="1" si="119"/>
        <v>6.6270975073452592</v>
      </c>
      <c r="AB144" s="1">
        <f t="shared" ca="1" si="119"/>
        <v>6.6270975073452592</v>
      </c>
      <c r="AC144" s="1">
        <f t="shared" ca="1" si="119"/>
        <v>1.0265884612894961E-3</v>
      </c>
      <c r="AT144" t="str">
        <f t="shared" si="111"/>
        <v>PV</v>
      </c>
      <c r="AU144">
        <f t="shared" si="86"/>
        <v>0.84160000000000001</v>
      </c>
      <c r="AV144">
        <f t="shared" si="87"/>
        <v>8.6666666666666643</v>
      </c>
      <c r="AW144">
        <f t="shared" si="88"/>
        <v>1.78</v>
      </c>
      <c r="AX144">
        <f t="shared" si="89"/>
        <v>3.8133333333333335</v>
      </c>
      <c r="AY144">
        <f t="shared" si="90"/>
        <v>6.1133333333333333</v>
      </c>
      <c r="AZ144">
        <f t="shared" ca="1" si="91"/>
        <v>3.48</v>
      </c>
      <c r="BA144">
        <f t="shared" ca="1" si="92"/>
        <v>3.48</v>
      </c>
      <c r="BB144">
        <f t="shared" ca="1" si="93"/>
        <v>3.48</v>
      </c>
      <c r="BC144">
        <f t="shared" ca="1" si="94"/>
        <v>6.74</v>
      </c>
      <c r="BD144">
        <f t="shared" ca="1" si="95"/>
        <v>6.74</v>
      </c>
      <c r="BE144">
        <f t="shared" ca="1" si="96"/>
        <v>6.74</v>
      </c>
      <c r="BF144">
        <f t="shared" ca="1" si="97"/>
        <v>6.74</v>
      </c>
      <c r="BG144">
        <f t="shared" ca="1" si="98"/>
        <v>6.74</v>
      </c>
      <c r="BH144">
        <f t="shared" si="99"/>
        <v>17.309999999999999</v>
      </c>
      <c r="BI144">
        <f t="shared" si="100"/>
        <v>16</v>
      </c>
      <c r="BJ144">
        <f t="shared" si="101"/>
        <v>2.0750000000000001E-2</v>
      </c>
      <c r="BK144">
        <f t="shared" si="102"/>
        <v>13.69236111111111</v>
      </c>
      <c r="BL144">
        <f t="shared" ca="1" si="103"/>
        <v>5.9148788974210182</v>
      </c>
      <c r="BM144">
        <f t="shared" ca="1" si="104"/>
        <v>5.3319812430283058</v>
      </c>
      <c r="BN144">
        <f t="shared" ca="1" si="105"/>
        <v>6.6270975073452592</v>
      </c>
      <c r="BO144">
        <f t="shared" ca="1" si="106"/>
        <v>6.6270975073452592</v>
      </c>
      <c r="BP144">
        <f t="shared" ca="1" si="112"/>
        <v>6.6270975073452592</v>
      </c>
      <c r="BQ144">
        <f t="shared" ca="1" si="107"/>
        <v>6.6270975073452592</v>
      </c>
      <c r="BR144">
        <f t="shared" ca="1" si="108"/>
        <v>2.8287942855237773</v>
      </c>
      <c r="BS144">
        <f t="shared" ca="1" si="109"/>
        <v>1.0486348650829795E-3</v>
      </c>
      <c r="BT144">
        <f t="shared" ca="1" si="113"/>
        <v>1.0265884612894961E-3</v>
      </c>
    </row>
    <row r="145" spans="2:72" x14ac:dyDescent="0.2">
      <c r="C145" t="s">
        <v>8</v>
      </c>
      <c r="D145" s="25">
        <f>R75</f>
        <v>0.1009</v>
      </c>
      <c r="E145" s="1">
        <f>K691</f>
        <v>2.6666666666666665</v>
      </c>
      <c r="F145" s="1">
        <f>K875</f>
        <v>1.1733333333333333</v>
      </c>
      <c r="G145" s="1">
        <f>K882</f>
        <v>1.7733333333333332</v>
      </c>
      <c r="H145" s="1">
        <f>K890</f>
        <v>2.3733333333333331</v>
      </c>
      <c r="I145" s="1">
        <f t="shared" ref="I145:P145" ca="1" si="120">OFFSET($K$1558,I115,0)</f>
        <v>1.02</v>
      </c>
      <c r="J145" s="1">
        <f t="shared" ca="1" si="120"/>
        <v>2.59</v>
      </c>
      <c r="K145" s="1">
        <f t="shared" ca="1" si="120"/>
        <v>1.02</v>
      </c>
      <c r="L145" s="1">
        <f t="shared" ca="1" si="120"/>
        <v>2.59</v>
      </c>
      <c r="M145" s="1">
        <f t="shared" ca="1" si="120"/>
        <v>2.59</v>
      </c>
      <c r="N145" s="1">
        <f t="shared" ca="1" si="120"/>
        <v>1.02</v>
      </c>
      <c r="O145" s="1">
        <f t="shared" ca="1" si="120"/>
        <v>2.59</v>
      </c>
      <c r="P145" s="1">
        <f t="shared" ca="1" si="120"/>
        <v>2.59</v>
      </c>
      <c r="Q145" s="1">
        <f>K1022</f>
        <v>5.8</v>
      </c>
      <c r="R145" s="1">
        <f>K1125</f>
        <v>3.4</v>
      </c>
      <c r="S145" s="1">
        <f>K3116</f>
        <v>0</v>
      </c>
      <c r="T145" s="1">
        <f>K3139</f>
        <v>4.1498888888888885</v>
      </c>
      <c r="U145" s="1">
        <f t="shared" ref="U145:AC145" ca="1" si="121">OFFSET($K$2825,X115,0)</f>
        <v>0.80480744803266568</v>
      </c>
      <c r="V145" s="1">
        <f t="shared" ca="1" si="121"/>
        <v>1.5731851851851768</v>
      </c>
      <c r="W145" s="1">
        <f t="shared" ca="1" si="121"/>
        <v>0.10075352236591127</v>
      </c>
      <c r="X145" s="1">
        <f t="shared" ca="1" si="121"/>
        <v>0.39263984270111496</v>
      </c>
      <c r="Y145" s="1">
        <f t="shared" ca="1" si="121"/>
        <v>1.5731851851851779</v>
      </c>
      <c r="Z145" s="1">
        <f t="shared" ca="1" si="121"/>
        <v>3.2770867591739076E-4</v>
      </c>
      <c r="AA145" s="1">
        <f t="shared" ca="1" si="121"/>
        <v>1.5731851851851779</v>
      </c>
      <c r="AB145" s="1">
        <f t="shared" ca="1" si="121"/>
        <v>1.5731851851851779</v>
      </c>
      <c r="AC145" s="1">
        <f t="shared" ca="1" si="121"/>
        <v>3.2037376111509997E-4</v>
      </c>
      <c r="AT145" t="str">
        <f t="shared" si="111"/>
        <v>Wind</v>
      </c>
      <c r="AU145">
        <f t="shared" si="86"/>
        <v>0.1009</v>
      </c>
      <c r="AV145">
        <f t="shared" si="87"/>
        <v>2.6666666666666665</v>
      </c>
      <c r="AW145">
        <f t="shared" si="88"/>
        <v>1.1733333333333333</v>
      </c>
      <c r="AX145">
        <f t="shared" si="89"/>
        <v>1.7733333333333332</v>
      </c>
      <c r="AY145">
        <f t="shared" si="90"/>
        <v>2.3733333333333331</v>
      </c>
      <c r="AZ145">
        <f t="shared" ca="1" si="91"/>
        <v>1.02</v>
      </c>
      <c r="BA145">
        <f t="shared" ca="1" si="92"/>
        <v>1.02</v>
      </c>
      <c r="BB145">
        <f t="shared" ca="1" si="93"/>
        <v>1.02</v>
      </c>
      <c r="BC145">
        <f t="shared" ca="1" si="94"/>
        <v>2.59</v>
      </c>
      <c r="BD145">
        <f t="shared" ca="1" si="95"/>
        <v>2.59</v>
      </c>
      <c r="BE145">
        <f t="shared" ca="1" si="96"/>
        <v>2.59</v>
      </c>
      <c r="BF145">
        <f t="shared" ca="1" si="97"/>
        <v>2.59</v>
      </c>
      <c r="BG145">
        <f t="shared" ca="1" si="98"/>
        <v>2.59</v>
      </c>
      <c r="BH145">
        <f t="shared" si="99"/>
        <v>5.8</v>
      </c>
      <c r="BI145">
        <f t="shared" si="100"/>
        <v>3.4</v>
      </c>
      <c r="BJ145">
        <f t="shared" si="101"/>
        <v>0</v>
      </c>
      <c r="BK145">
        <f t="shared" si="102"/>
        <v>4.1498888888888885</v>
      </c>
      <c r="BL145">
        <f t="shared" ca="1" si="103"/>
        <v>0.80480744803266568</v>
      </c>
      <c r="BM145">
        <f t="shared" ca="1" si="104"/>
        <v>0.39263984270111496</v>
      </c>
      <c r="BN145">
        <f t="shared" ca="1" si="105"/>
        <v>1.5731851851851779</v>
      </c>
      <c r="BO145">
        <f t="shared" ca="1" si="106"/>
        <v>1.5731851851851768</v>
      </c>
      <c r="BP145">
        <f t="shared" ca="1" si="112"/>
        <v>1.5731851851851779</v>
      </c>
      <c r="BQ145">
        <f t="shared" ca="1" si="107"/>
        <v>1.5731851851851779</v>
      </c>
      <c r="BR145">
        <f t="shared" ca="1" si="108"/>
        <v>0.10075352236591127</v>
      </c>
      <c r="BS145">
        <f t="shared" ca="1" si="109"/>
        <v>3.2770867591739076E-4</v>
      </c>
      <c r="BT145">
        <f t="shared" ca="1" si="113"/>
        <v>3.2037376111509997E-4</v>
      </c>
    </row>
    <row r="146" spans="2:72" x14ac:dyDescent="0.2">
      <c r="C146" t="s">
        <v>937</v>
      </c>
      <c r="E146" s="1"/>
      <c r="F146" s="1">
        <f>K874</f>
        <v>4.7333333333333325</v>
      </c>
      <c r="G146" s="1">
        <f>K881</f>
        <v>6.3666666666666663</v>
      </c>
      <c r="H146" s="1">
        <f>K889</f>
        <v>7.2999999999999989</v>
      </c>
      <c r="I146" s="1"/>
      <c r="J146" s="1"/>
      <c r="K146" s="1"/>
      <c r="L146" s="1"/>
      <c r="M146" s="1"/>
      <c r="N146" s="1"/>
      <c r="O146" s="1"/>
      <c r="P146" s="1"/>
      <c r="Q146" s="1"/>
      <c r="U146" s="1"/>
      <c r="V146" s="1"/>
      <c r="W146" s="1"/>
      <c r="X146" s="1"/>
      <c r="Y146" s="1"/>
      <c r="Z146" s="1"/>
      <c r="AA146" s="1"/>
      <c r="AB146" s="1"/>
      <c r="AC146" s="1"/>
      <c r="AT146" t="str">
        <f t="shared" si="111"/>
        <v>Biomass+Geo</v>
      </c>
      <c r="AU146">
        <f t="shared" si="86"/>
        <v>0</v>
      </c>
      <c r="AV146">
        <f t="shared" si="87"/>
        <v>0</v>
      </c>
      <c r="AW146">
        <f t="shared" si="88"/>
        <v>4.7333333333333325</v>
      </c>
      <c r="AX146">
        <f t="shared" si="89"/>
        <v>6.3666666666666663</v>
      </c>
      <c r="AY146">
        <f t="shared" si="90"/>
        <v>7.2999999999999989</v>
      </c>
      <c r="AZ146">
        <f t="shared" si="91"/>
        <v>0</v>
      </c>
      <c r="BA146">
        <f t="shared" si="92"/>
        <v>0</v>
      </c>
      <c r="BB146">
        <f t="shared" si="93"/>
        <v>0</v>
      </c>
      <c r="BC146">
        <f t="shared" si="94"/>
        <v>0</v>
      </c>
      <c r="BD146">
        <f t="shared" si="95"/>
        <v>0</v>
      </c>
      <c r="BE146">
        <f t="shared" si="96"/>
        <v>0</v>
      </c>
      <c r="BF146">
        <f t="shared" si="97"/>
        <v>0</v>
      </c>
      <c r="BG146">
        <f t="shared" si="98"/>
        <v>0</v>
      </c>
      <c r="BH146">
        <f t="shared" si="99"/>
        <v>0</v>
      </c>
      <c r="BI146">
        <f t="shared" si="100"/>
        <v>0</v>
      </c>
      <c r="BJ146">
        <f t="shared" si="101"/>
        <v>0</v>
      </c>
      <c r="BK146">
        <f t="shared" si="102"/>
        <v>0</v>
      </c>
      <c r="BL146">
        <f t="shared" si="103"/>
        <v>0</v>
      </c>
      <c r="BM146">
        <f t="shared" si="104"/>
        <v>0</v>
      </c>
      <c r="BN146">
        <f t="shared" si="105"/>
        <v>0</v>
      </c>
      <c r="BO146">
        <f t="shared" si="106"/>
        <v>0</v>
      </c>
      <c r="BP146">
        <f t="shared" si="112"/>
        <v>0</v>
      </c>
      <c r="BQ146">
        <f t="shared" si="107"/>
        <v>0</v>
      </c>
      <c r="BR146">
        <f t="shared" si="108"/>
        <v>0</v>
      </c>
      <c r="BS146">
        <f t="shared" si="109"/>
        <v>0</v>
      </c>
      <c r="BT146">
        <f t="shared" si="113"/>
        <v>0</v>
      </c>
    </row>
    <row r="147" spans="2:72" x14ac:dyDescent="0.2">
      <c r="C147" t="s">
        <v>960</v>
      </c>
      <c r="D147">
        <v>0</v>
      </c>
      <c r="E147" s="1">
        <f>K692</f>
        <v>2.4</v>
      </c>
      <c r="F147" s="1"/>
      <c r="G147" s="1"/>
      <c r="H147" s="1"/>
      <c r="I147" s="1">
        <f t="shared" ref="I147:P147" ca="1" si="122">OFFSET($K$1560,I115,0)</f>
        <v>0.39</v>
      </c>
      <c r="J147" s="1">
        <f t="shared" ca="1" si="122"/>
        <v>2.41</v>
      </c>
      <c r="K147" s="1">
        <f t="shared" ca="1" si="122"/>
        <v>0.39</v>
      </c>
      <c r="L147" s="1">
        <f t="shared" ca="1" si="122"/>
        <v>2.41</v>
      </c>
      <c r="M147" s="1">
        <f t="shared" ca="1" si="122"/>
        <v>2.41</v>
      </c>
      <c r="N147" s="1">
        <f t="shared" ca="1" si="122"/>
        <v>0.39</v>
      </c>
      <c r="O147" s="1">
        <f t="shared" ca="1" si="122"/>
        <v>2.41</v>
      </c>
      <c r="P147" s="1">
        <f t="shared" ca="1" si="122"/>
        <v>2.41</v>
      </c>
      <c r="Q147" s="1">
        <f>K1027</f>
        <v>2.4</v>
      </c>
      <c r="R147" s="1">
        <f>K1128</f>
        <v>2.4</v>
      </c>
      <c r="S147" s="1"/>
      <c r="T147" s="1"/>
      <c r="U147" s="1">
        <f t="shared" ref="U147:AC147" ca="1" si="123">OFFSET($K$2823,X115,0)</f>
        <v>0</v>
      </c>
      <c r="V147" s="1">
        <f t="shared" ca="1" si="123"/>
        <v>1.9999597777777776</v>
      </c>
      <c r="W147" s="1">
        <f t="shared" ca="1" si="123"/>
        <v>0</v>
      </c>
      <c r="X147" s="1">
        <f t="shared" ca="1" si="123"/>
        <v>0</v>
      </c>
      <c r="Y147" s="1">
        <f t="shared" ca="1" si="123"/>
        <v>1.9999597777777776</v>
      </c>
      <c r="Z147" s="1">
        <f t="shared" ca="1" si="123"/>
        <v>0</v>
      </c>
      <c r="AA147" s="1">
        <f t="shared" ca="1" si="123"/>
        <v>1.8331017768733608</v>
      </c>
      <c r="AB147" s="1">
        <f t="shared" ca="1" si="123"/>
        <v>1.9999597777777776</v>
      </c>
      <c r="AC147" s="1">
        <f t="shared" ca="1" si="123"/>
        <v>0</v>
      </c>
      <c r="AT147" t="str">
        <f t="shared" si="111"/>
        <v>Geo</v>
      </c>
      <c r="AU147">
        <f t="shared" si="86"/>
        <v>0</v>
      </c>
      <c r="AV147">
        <f t="shared" si="87"/>
        <v>2.4</v>
      </c>
      <c r="AW147">
        <f t="shared" si="88"/>
        <v>0</v>
      </c>
      <c r="AX147">
        <f t="shared" si="89"/>
        <v>0</v>
      </c>
      <c r="AY147">
        <f t="shared" si="90"/>
        <v>0</v>
      </c>
      <c r="AZ147">
        <f t="shared" ca="1" si="91"/>
        <v>0.39</v>
      </c>
      <c r="BA147">
        <f t="shared" ca="1" si="92"/>
        <v>0.39</v>
      </c>
      <c r="BB147">
        <f t="shared" ca="1" si="93"/>
        <v>0.39</v>
      </c>
      <c r="BC147">
        <f t="shared" ca="1" si="94"/>
        <v>2.41</v>
      </c>
      <c r="BD147">
        <f t="shared" ca="1" si="95"/>
        <v>2.41</v>
      </c>
      <c r="BE147">
        <f t="shared" ca="1" si="96"/>
        <v>2.41</v>
      </c>
      <c r="BF147">
        <f t="shared" ca="1" si="97"/>
        <v>2.41</v>
      </c>
      <c r="BG147">
        <f t="shared" ca="1" si="98"/>
        <v>2.41</v>
      </c>
      <c r="BH147">
        <f t="shared" si="99"/>
        <v>2.4</v>
      </c>
      <c r="BI147">
        <f t="shared" si="100"/>
        <v>2.4</v>
      </c>
      <c r="BJ147">
        <f t="shared" si="101"/>
        <v>0</v>
      </c>
      <c r="BK147">
        <f t="shared" si="102"/>
        <v>0</v>
      </c>
      <c r="BL147">
        <f t="shared" ca="1" si="103"/>
        <v>0</v>
      </c>
      <c r="BM147">
        <f t="shared" ca="1" si="104"/>
        <v>0</v>
      </c>
      <c r="BN147">
        <f t="shared" ca="1" si="105"/>
        <v>1.8331017768733608</v>
      </c>
      <c r="BO147">
        <f t="shared" ca="1" si="106"/>
        <v>1.9999597777777776</v>
      </c>
      <c r="BP147">
        <f t="shared" ca="1" si="112"/>
        <v>1.9999597777777776</v>
      </c>
      <c r="BQ147">
        <f t="shared" ca="1" si="107"/>
        <v>1.9999597777777776</v>
      </c>
      <c r="BR147">
        <f t="shared" ca="1" si="108"/>
        <v>0</v>
      </c>
      <c r="BS147">
        <f t="shared" ca="1" si="109"/>
        <v>0</v>
      </c>
      <c r="BT147">
        <f t="shared" ca="1" si="113"/>
        <v>0</v>
      </c>
    </row>
    <row r="148" spans="2:72" x14ac:dyDescent="0.2">
      <c r="C148" t="s">
        <v>984</v>
      </c>
      <c r="D148" s="25">
        <f>R73</f>
        <v>1.6287</v>
      </c>
      <c r="E148" s="1">
        <f>K693</f>
        <v>5.666666666666667</v>
      </c>
      <c r="F148" s="1"/>
      <c r="G148" s="1"/>
      <c r="H148" s="1"/>
      <c r="I148" s="1">
        <f ca="1">SUM(OFFSET($K$1559,I115,0):OFFSET($K$1565,I115,0))-I147</f>
        <v>2.4700000000000002</v>
      </c>
      <c r="J148" s="1">
        <f ca="1">SUM(OFFSET($K$1559,J115,0):OFFSET($K$1565,J115,0))-J147</f>
        <v>4.4000000000000004</v>
      </c>
      <c r="K148" s="1">
        <f ca="1">SUM(OFFSET($K$1559,K115,0):OFFSET($K$1565,K115,0))-K147</f>
        <v>2.4700000000000002</v>
      </c>
      <c r="L148" s="1">
        <f ca="1">SUM(OFFSET($K$1559,L115,0):OFFSET($K$1565,L115,0))-L147</f>
        <v>4.4000000000000004</v>
      </c>
      <c r="M148" s="1">
        <f ca="1">SUM(OFFSET($K$1559,M115,0):OFFSET($K$1565,M115,0))-M147</f>
        <v>4.4000000000000004</v>
      </c>
      <c r="N148" s="1">
        <f ca="1">SUM(OFFSET($K$1559,N115,0):OFFSET($K$1565,N115,0))-N147</f>
        <v>2.4700000000000002</v>
      </c>
      <c r="O148" s="1">
        <f ca="1">SUM(OFFSET($K$1559,O115,0):OFFSET($K$1565,O115,0))-O147</f>
        <v>4.4000000000000004</v>
      </c>
      <c r="P148" s="1">
        <f ca="1">SUM(OFFSET($K$1559,P115,0):OFFSET($K$1565,P115,0))-P147</f>
        <v>4.4000000000000004</v>
      </c>
      <c r="Q148" s="1">
        <f>K1024+K1025+K1026</f>
        <v>5.08</v>
      </c>
      <c r="R148">
        <f>K1127+K1122</f>
        <v>6.4</v>
      </c>
      <c r="S148" s="1">
        <f>K3115</f>
        <v>0</v>
      </c>
      <c r="T148" s="1">
        <f>K3138</f>
        <v>2.8366388888888889</v>
      </c>
      <c r="U148" s="1">
        <f t="shared" ref="U148:AC148" ca="1" si="124">OFFSET($K$2826,X115,0)+OFFSET($K$2827,X115,0)</f>
        <v>2.2361111111111129</v>
      </c>
      <c r="V148" s="1">
        <f t="shared" ca="1" si="124"/>
        <v>3.0693461739564469</v>
      </c>
      <c r="W148" s="1">
        <f t="shared" ca="1" si="124"/>
        <v>2.2361111111111129</v>
      </c>
      <c r="X148" s="1">
        <f t="shared" ca="1" si="124"/>
        <v>2.2361111111111129</v>
      </c>
      <c r="Y148" s="1">
        <f t="shared" ca="1" si="124"/>
        <v>3.9997755508202593</v>
      </c>
      <c r="Z148" s="1">
        <f t="shared" ca="1" si="124"/>
        <v>1.7438476459563685</v>
      </c>
      <c r="AA148" s="1">
        <f t="shared" ca="1" si="124"/>
        <v>2.2361111111111129</v>
      </c>
      <c r="AB148" s="1">
        <f t="shared" ca="1" si="124"/>
        <v>3.2516019080226739</v>
      </c>
      <c r="AC148" s="1">
        <f t="shared" ca="1" si="124"/>
        <v>1.4706994978082222</v>
      </c>
      <c r="AT148" t="str">
        <f t="shared" si="111"/>
        <v>Biomass</v>
      </c>
      <c r="AU148">
        <f t="shared" si="86"/>
        <v>1.6287</v>
      </c>
      <c r="AV148">
        <f t="shared" si="87"/>
        <v>5.666666666666667</v>
      </c>
      <c r="AW148">
        <f t="shared" si="88"/>
        <v>0</v>
      </c>
      <c r="AX148">
        <f t="shared" si="89"/>
        <v>0</v>
      </c>
      <c r="AY148">
        <f t="shared" si="90"/>
        <v>0</v>
      </c>
      <c r="AZ148">
        <f t="shared" ca="1" si="91"/>
        <v>2.4700000000000002</v>
      </c>
      <c r="BA148">
        <f t="shared" ca="1" si="92"/>
        <v>2.4700000000000002</v>
      </c>
      <c r="BB148">
        <f t="shared" ca="1" si="93"/>
        <v>2.4700000000000002</v>
      </c>
      <c r="BC148">
        <f t="shared" ca="1" si="94"/>
        <v>4.4000000000000004</v>
      </c>
      <c r="BD148">
        <f t="shared" ca="1" si="95"/>
        <v>4.4000000000000004</v>
      </c>
      <c r="BE148">
        <f t="shared" ca="1" si="96"/>
        <v>4.4000000000000004</v>
      </c>
      <c r="BF148">
        <f t="shared" ca="1" si="97"/>
        <v>4.4000000000000004</v>
      </c>
      <c r="BG148">
        <f t="shared" ca="1" si="98"/>
        <v>4.4000000000000004</v>
      </c>
      <c r="BH148">
        <f t="shared" si="99"/>
        <v>5.08</v>
      </c>
      <c r="BI148">
        <f t="shared" si="100"/>
        <v>6.4</v>
      </c>
      <c r="BJ148">
        <f t="shared" si="101"/>
        <v>0</v>
      </c>
      <c r="BK148">
        <f t="shared" si="102"/>
        <v>2.8366388888888889</v>
      </c>
      <c r="BL148">
        <f t="shared" ca="1" si="103"/>
        <v>2.2361111111111129</v>
      </c>
      <c r="BM148">
        <f t="shared" ca="1" si="104"/>
        <v>2.2361111111111129</v>
      </c>
      <c r="BN148">
        <f t="shared" ca="1" si="105"/>
        <v>2.2361111111111129</v>
      </c>
      <c r="BO148">
        <f t="shared" ca="1" si="106"/>
        <v>3.0693461739564469</v>
      </c>
      <c r="BP148">
        <f t="shared" ca="1" si="112"/>
        <v>3.9997755508202593</v>
      </c>
      <c r="BQ148">
        <f t="shared" ca="1" si="107"/>
        <v>3.2516019080226739</v>
      </c>
      <c r="BR148">
        <f t="shared" ca="1" si="108"/>
        <v>2.2361111111111129</v>
      </c>
      <c r="BS148">
        <f t="shared" ca="1" si="109"/>
        <v>1.7438476459563685</v>
      </c>
      <c r="BT148">
        <f t="shared" ca="1" si="113"/>
        <v>1.4706994978082222</v>
      </c>
    </row>
    <row r="149" spans="2:72" x14ac:dyDescent="0.2">
      <c r="C149" t="s">
        <v>959</v>
      </c>
      <c r="E149" s="1">
        <f>K696+K687</f>
        <v>11.933333333333334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U149" s="1"/>
      <c r="V149" s="1"/>
      <c r="W149" s="1"/>
      <c r="X149" s="1"/>
      <c r="Y149" s="1"/>
      <c r="Z149" s="1"/>
      <c r="AA149" s="1"/>
      <c r="AB149" s="1"/>
      <c r="AC149" s="1"/>
      <c r="AT149" t="str">
        <f t="shared" si="111"/>
        <v>Gas+Net import</v>
      </c>
      <c r="AU149">
        <f t="shared" si="86"/>
        <v>0</v>
      </c>
      <c r="AV149">
        <f t="shared" si="87"/>
        <v>11.933333333333334</v>
      </c>
      <c r="AW149">
        <f t="shared" si="88"/>
        <v>0</v>
      </c>
      <c r="AX149">
        <f t="shared" si="89"/>
        <v>0</v>
      </c>
      <c r="AY149">
        <f t="shared" si="90"/>
        <v>0</v>
      </c>
      <c r="AZ149">
        <f t="shared" si="91"/>
        <v>0</v>
      </c>
      <c r="BA149">
        <f t="shared" si="92"/>
        <v>0</v>
      </c>
      <c r="BB149">
        <f t="shared" si="93"/>
        <v>0</v>
      </c>
      <c r="BC149">
        <f t="shared" si="94"/>
        <v>0</v>
      </c>
      <c r="BD149">
        <f t="shared" si="95"/>
        <v>0</v>
      </c>
      <c r="BE149">
        <f t="shared" si="96"/>
        <v>0</v>
      </c>
      <c r="BF149">
        <f t="shared" si="97"/>
        <v>0</v>
      </c>
      <c r="BG149">
        <f t="shared" si="98"/>
        <v>0</v>
      </c>
      <c r="BH149">
        <f t="shared" si="99"/>
        <v>0</v>
      </c>
      <c r="BI149">
        <f t="shared" si="100"/>
        <v>0</v>
      </c>
      <c r="BJ149">
        <f t="shared" si="101"/>
        <v>0</v>
      </c>
      <c r="BK149">
        <f t="shared" si="102"/>
        <v>0</v>
      </c>
      <c r="BL149">
        <f t="shared" si="103"/>
        <v>0</v>
      </c>
      <c r="BM149">
        <f t="shared" si="104"/>
        <v>0</v>
      </c>
      <c r="BN149">
        <f t="shared" si="105"/>
        <v>0</v>
      </c>
      <c r="BO149">
        <f t="shared" si="106"/>
        <v>0</v>
      </c>
      <c r="BP149">
        <f t="shared" si="112"/>
        <v>0</v>
      </c>
      <c r="BQ149">
        <f t="shared" si="107"/>
        <v>0</v>
      </c>
      <c r="BR149">
        <f t="shared" si="108"/>
        <v>0</v>
      </c>
      <c r="BS149">
        <f t="shared" si="109"/>
        <v>0</v>
      </c>
      <c r="BT149">
        <f t="shared" si="113"/>
        <v>0</v>
      </c>
    </row>
    <row r="150" spans="2:72" x14ac:dyDescent="0.2">
      <c r="C150" t="s">
        <v>971</v>
      </c>
      <c r="D150" s="25">
        <f>R68-R72</f>
        <v>1.3837999999999999</v>
      </c>
      <c r="E150" s="1"/>
      <c r="F150" s="1">
        <f>K877</f>
        <v>18.466666666666665</v>
      </c>
      <c r="G150" s="1">
        <f>K884</f>
        <v>11.266666666666666</v>
      </c>
      <c r="H150" s="1">
        <f>K892</f>
        <v>0.66666666666666663</v>
      </c>
      <c r="I150" s="1">
        <f t="shared" ref="I150:P150" ca="1" si="125">OFFSET($K$1550,I115,0)</f>
        <v>29.22</v>
      </c>
      <c r="J150" s="1">
        <f t="shared" ca="1" si="125"/>
        <v>18.86</v>
      </c>
      <c r="K150" s="1">
        <f t="shared" ca="1" si="125"/>
        <v>16.89</v>
      </c>
      <c r="L150" s="1">
        <f t="shared" ca="1" si="125"/>
        <v>10.27</v>
      </c>
      <c r="M150" s="1">
        <f t="shared" ca="1" si="125"/>
        <v>3.44</v>
      </c>
      <c r="N150" s="1">
        <f t="shared" ca="1" si="125"/>
        <v>21.6</v>
      </c>
      <c r="O150" s="1">
        <f t="shared" ca="1" si="125"/>
        <v>12.87</v>
      </c>
      <c r="P150" s="1">
        <f t="shared" ca="1" si="125"/>
        <v>3.44</v>
      </c>
      <c r="Q150" s="1">
        <f>K1023</f>
        <v>3.7</v>
      </c>
      <c r="R150" s="1">
        <f>K1115</f>
        <v>1.5</v>
      </c>
      <c r="S150" s="1">
        <f>K3110+K3113+K3114</f>
        <v>43.703916666666672</v>
      </c>
      <c r="T150" s="1">
        <f>K3133+K3136+K3137</f>
        <v>16.156583333333334</v>
      </c>
      <c r="U150" s="1">
        <f t="shared" ref="U150:AC150" ca="1" si="126">OFFSET($K$2818,X115,0)+OFFSET($K$2819,X115,0)+OFFSET($K$2820,X115,0)+OFFSET($K$2822,X115,0)</f>
        <v>20.044258700681397</v>
      </c>
      <c r="V150" s="1">
        <f t="shared" ca="1" si="126"/>
        <v>2.4396764817178819E-2</v>
      </c>
      <c r="W150" s="1">
        <f t="shared" ca="1" si="126"/>
        <v>1.7877261389752406</v>
      </c>
      <c r="X150" s="1">
        <f t="shared" ca="1" si="126"/>
        <v>14.651512476236508</v>
      </c>
      <c r="Y150" s="1">
        <f t="shared" ca="1" si="126"/>
        <v>2.4590172085466617E-2</v>
      </c>
      <c r="Z150" s="1">
        <f t="shared" ca="1" si="126"/>
        <v>9.0517528066627218E-2</v>
      </c>
      <c r="AA150" s="1">
        <f t="shared" ca="1" si="126"/>
        <v>6.7411708722704855</v>
      </c>
      <c r="AB150" s="1">
        <f t="shared" ca="1" si="126"/>
        <v>1.8416410248546074E-2</v>
      </c>
      <c r="AC150" s="1">
        <f t="shared" ca="1" si="126"/>
        <v>0</v>
      </c>
      <c r="AT150" t="str">
        <f t="shared" si="111"/>
        <v>Gas, Fossils</v>
      </c>
      <c r="AU150">
        <f t="shared" si="86"/>
        <v>1.3837999999999999</v>
      </c>
      <c r="AV150">
        <f t="shared" si="87"/>
        <v>0</v>
      </c>
      <c r="AW150">
        <f t="shared" si="88"/>
        <v>18.466666666666665</v>
      </c>
      <c r="AX150">
        <f t="shared" si="89"/>
        <v>11.266666666666666</v>
      </c>
      <c r="AY150">
        <f t="shared" si="90"/>
        <v>0.66666666666666663</v>
      </c>
      <c r="AZ150">
        <f t="shared" ca="1" si="91"/>
        <v>29.22</v>
      </c>
      <c r="BA150">
        <f t="shared" ca="1" si="92"/>
        <v>21.6</v>
      </c>
      <c r="BB150">
        <f t="shared" ca="1" si="93"/>
        <v>16.89</v>
      </c>
      <c r="BC150">
        <f t="shared" ca="1" si="94"/>
        <v>3.44</v>
      </c>
      <c r="BD150">
        <f t="shared" ca="1" si="95"/>
        <v>3.44</v>
      </c>
      <c r="BE150">
        <f t="shared" ca="1" si="96"/>
        <v>18.86</v>
      </c>
      <c r="BF150">
        <f t="shared" ca="1" si="97"/>
        <v>12.87</v>
      </c>
      <c r="BG150">
        <f t="shared" ca="1" si="98"/>
        <v>10.27</v>
      </c>
      <c r="BH150">
        <f t="shared" si="99"/>
        <v>3.7</v>
      </c>
      <c r="BI150">
        <f t="shared" si="100"/>
        <v>1.5</v>
      </c>
      <c r="BJ150">
        <f t="shared" si="101"/>
        <v>43.703916666666672</v>
      </c>
      <c r="BK150">
        <f t="shared" si="102"/>
        <v>16.156583333333334</v>
      </c>
      <c r="BL150">
        <f t="shared" ca="1" si="103"/>
        <v>20.044258700681397</v>
      </c>
      <c r="BM150">
        <f t="shared" ca="1" si="104"/>
        <v>14.651512476236508</v>
      </c>
      <c r="BN150">
        <f t="shared" ca="1" si="105"/>
        <v>6.7411708722704855</v>
      </c>
      <c r="BO150">
        <f t="shared" ca="1" si="106"/>
        <v>2.4396764817178819E-2</v>
      </c>
      <c r="BP150">
        <f t="shared" ca="1" si="112"/>
        <v>2.4590172085466617E-2</v>
      </c>
      <c r="BQ150">
        <f t="shared" ca="1" si="107"/>
        <v>1.8416410248546074E-2</v>
      </c>
      <c r="BR150">
        <f t="shared" ca="1" si="108"/>
        <v>1.7877261389752406</v>
      </c>
      <c r="BS150">
        <f t="shared" ca="1" si="109"/>
        <v>9.0517528066627218E-2</v>
      </c>
      <c r="BT150">
        <f t="shared" ca="1" si="113"/>
        <v>0</v>
      </c>
    </row>
    <row r="151" spans="2:72" x14ac:dyDescent="0.2">
      <c r="C151" s="14" t="s">
        <v>958</v>
      </c>
      <c r="D151" s="14">
        <f>R78-R79</f>
        <v>-5.4909999999999997</v>
      </c>
      <c r="E151" s="80"/>
      <c r="F151" s="80">
        <f>K878</f>
        <v>19.333333333333332</v>
      </c>
      <c r="G151" s="80">
        <f>K885</f>
        <v>16.333333333333332</v>
      </c>
      <c r="H151" s="80">
        <f>K893</f>
        <v>13.333333333333332</v>
      </c>
      <c r="I151" s="80">
        <f t="shared" ref="I151:P151" ca="1" si="127">OFFSET($K$1575,I115,0)</f>
        <v>0.64</v>
      </c>
      <c r="J151" s="80">
        <f t="shared" ca="1" si="127"/>
        <v>0.64</v>
      </c>
      <c r="K151" s="80">
        <f t="shared" ca="1" si="127"/>
        <v>0.64</v>
      </c>
      <c r="L151" s="80">
        <f t="shared" ca="1" si="127"/>
        <v>-3.1000000000000005</v>
      </c>
      <c r="M151" s="80">
        <f t="shared" ca="1" si="127"/>
        <v>3.74</v>
      </c>
      <c r="N151" s="80">
        <f t="shared" ca="1" si="127"/>
        <v>0.64</v>
      </c>
      <c r="O151" s="80">
        <f t="shared" ca="1" si="127"/>
        <v>-0.99</v>
      </c>
      <c r="P151" s="80">
        <f t="shared" ca="1" si="127"/>
        <v>8.4499999999999993</v>
      </c>
      <c r="Q151" s="80">
        <f>K1018</f>
        <v>3.4</v>
      </c>
      <c r="R151" s="80">
        <f>K1130</f>
        <v>8</v>
      </c>
      <c r="S151" s="80"/>
      <c r="T151" s="80"/>
      <c r="U151" s="80">
        <f t="shared" ref="U151:AC151" ca="1" si="128">OFFSET($K$2834,X115,0)</f>
        <v>2.2026824808563106E-13</v>
      </c>
      <c r="V151" s="80">
        <f t="shared" ca="1" si="128"/>
        <v>14.954925615759038</v>
      </c>
      <c r="W151" s="80">
        <f t="shared" ca="1" si="128"/>
        <v>-1.8947806286936004E-14</v>
      </c>
      <c r="X151" s="80">
        <f t="shared" ca="1" si="128"/>
        <v>3.7895612573872008E-14</v>
      </c>
      <c r="Y151" s="80">
        <f t="shared" ca="1" si="128"/>
        <v>7.5216273551495947</v>
      </c>
      <c r="Z151" s="80">
        <f t="shared" ca="1" si="128"/>
        <v>-9.473903143468002E-15</v>
      </c>
      <c r="AA151" s="80">
        <f t="shared" ca="1" si="128"/>
        <v>-5.6843418860808015E-14</v>
      </c>
      <c r="AB151" s="80">
        <f t="shared" ca="1" si="128"/>
        <v>5.0799652194944827</v>
      </c>
      <c r="AC151" s="80">
        <f t="shared" ca="1" si="128"/>
        <v>1.4802973661668753E-13</v>
      </c>
      <c r="AT151" t="str">
        <f t="shared" si="111"/>
        <v>Net import</v>
      </c>
      <c r="AU151">
        <f t="shared" si="86"/>
        <v>-5.4909999999999997</v>
      </c>
      <c r="AV151">
        <f t="shared" si="87"/>
        <v>0</v>
      </c>
      <c r="AW151">
        <f t="shared" si="88"/>
        <v>19.333333333333332</v>
      </c>
      <c r="AX151">
        <f t="shared" si="89"/>
        <v>16.333333333333332</v>
      </c>
      <c r="AY151">
        <f t="shared" si="90"/>
        <v>13.333333333333332</v>
      </c>
      <c r="AZ151">
        <f t="shared" ca="1" si="91"/>
        <v>0.64</v>
      </c>
      <c r="BA151">
        <f t="shared" ca="1" si="92"/>
        <v>0.64</v>
      </c>
      <c r="BB151">
        <f t="shared" ca="1" si="93"/>
        <v>0.64</v>
      </c>
      <c r="BC151">
        <f t="shared" ca="1" si="94"/>
        <v>8.4499999999999993</v>
      </c>
      <c r="BD151">
        <f t="shared" ca="1" si="95"/>
        <v>3.74</v>
      </c>
      <c r="BE151">
        <f t="shared" ca="1" si="96"/>
        <v>0.64</v>
      </c>
      <c r="BF151">
        <f t="shared" ca="1" si="97"/>
        <v>-0.99</v>
      </c>
      <c r="BG151">
        <f t="shared" ca="1" si="98"/>
        <v>-3.1000000000000005</v>
      </c>
      <c r="BH151">
        <f t="shared" si="99"/>
        <v>3.4</v>
      </c>
      <c r="BI151">
        <f t="shared" si="100"/>
        <v>8</v>
      </c>
      <c r="BJ151">
        <f t="shared" si="101"/>
        <v>0</v>
      </c>
      <c r="BK151">
        <f t="shared" si="102"/>
        <v>0</v>
      </c>
      <c r="BL151">
        <f t="shared" ca="1" si="103"/>
        <v>2.2026824808563106E-13</v>
      </c>
      <c r="BM151">
        <f t="shared" ca="1" si="104"/>
        <v>3.7895612573872008E-14</v>
      </c>
      <c r="BN151">
        <f t="shared" ca="1" si="105"/>
        <v>-5.6843418860808015E-14</v>
      </c>
      <c r="BO151">
        <f t="shared" ca="1" si="106"/>
        <v>14.954925615759038</v>
      </c>
      <c r="BP151">
        <f t="shared" ca="1" si="112"/>
        <v>7.5216273551495947</v>
      </c>
      <c r="BQ151">
        <f t="shared" ca="1" si="107"/>
        <v>5.0799652194944827</v>
      </c>
      <c r="BR151">
        <f t="shared" ca="1" si="108"/>
        <v>-1.8947806286936004E-14</v>
      </c>
      <c r="BS151">
        <f t="shared" ca="1" si="109"/>
        <v>-9.473903143468002E-15</v>
      </c>
      <c r="BT151">
        <f t="shared" ca="1" si="113"/>
        <v>1.4802973661668753E-13</v>
      </c>
    </row>
    <row r="152" spans="2:72" x14ac:dyDescent="0.2">
      <c r="C152" t="s">
        <v>957</v>
      </c>
      <c r="D152" s="6">
        <f>SUM(D140:D151)</f>
        <v>61.786999999999992</v>
      </c>
      <c r="E152" s="6">
        <f t="shared" ref="E152:AC152" si="129">SUM(E140:E151)</f>
        <v>76.333333333333329</v>
      </c>
      <c r="F152" s="6">
        <f t="shared" si="129"/>
        <v>80.52</v>
      </c>
      <c r="G152" s="4">
        <f t="shared" si="129"/>
        <v>75.553333333333327</v>
      </c>
      <c r="H152" s="4">
        <f t="shared" si="129"/>
        <v>68.52</v>
      </c>
      <c r="I152" s="4">
        <f t="shared" ca="1" si="129"/>
        <v>71.540000000000006</v>
      </c>
      <c r="J152" s="4">
        <f t="shared" ca="1" si="129"/>
        <v>71.540000000000006</v>
      </c>
      <c r="K152" s="4">
        <f t="shared" ca="1" si="129"/>
        <v>59.21</v>
      </c>
      <c r="L152" s="4">
        <f t="shared" ca="1" si="129"/>
        <v>59.21</v>
      </c>
      <c r="M152" s="4">
        <f t="shared" ca="1" si="129"/>
        <v>59.22</v>
      </c>
      <c r="N152" s="4">
        <f t="shared" ca="1" si="129"/>
        <v>63.92</v>
      </c>
      <c r="O152" s="4">
        <f t="shared" ca="1" si="129"/>
        <v>63.919999999999995</v>
      </c>
      <c r="P152" s="4">
        <f t="shared" ca="1" si="129"/>
        <v>63.929999999999993</v>
      </c>
      <c r="Q152" s="4">
        <f t="shared" si="129"/>
        <v>72.02000000000001</v>
      </c>
      <c r="R152" s="4">
        <f t="shared" si="129"/>
        <v>72.205999999999989</v>
      </c>
      <c r="S152" s="4">
        <f t="shared" si="129"/>
        <v>79.509</v>
      </c>
      <c r="T152" s="4">
        <f t="shared" si="129"/>
        <v>74.158166666666673</v>
      </c>
      <c r="U152" s="4">
        <f t="shared" ca="1" si="129"/>
        <v>68.780426272261423</v>
      </c>
      <c r="V152" s="4">
        <f t="shared" ca="1" si="129"/>
        <v>68.780426272227544</v>
      </c>
      <c r="W152" s="4">
        <f t="shared" ca="1" si="129"/>
        <v>68.780426272277765</v>
      </c>
      <c r="X152" s="4">
        <f t="shared" ca="1" si="129"/>
        <v>62.300210472089027</v>
      </c>
      <c r="Y152" s="4">
        <f t="shared" ca="1" si="129"/>
        <v>62.300210472050928</v>
      </c>
      <c r="Z152" s="4">
        <f t="shared" ca="1" si="129"/>
        <v>62.980224736627797</v>
      </c>
      <c r="AA152" s="4">
        <f t="shared" ca="1" si="129"/>
        <v>59.086581641587216</v>
      </c>
      <c r="AB152" s="4">
        <f t="shared" ca="1" si="129"/>
        <v>59.086581641568266</v>
      </c>
      <c r="AC152" s="4">
        <f t="shared" ca="1" si="129"/>
        <v>60.372638079247878</v>
      </c>
    </row>
    <row r="153" spans="2:72" x14ac:dyDescent="0.2"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2:72" x14ac:dyDescent="0.2">
      <c r="C154" s="25" t="s">
        <v>953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2:72" x14ac:dyDescent="0.2"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2:72" x14ac:dyDescent="0.2"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2:72" x14ac:dyDescent="0.2"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2:72" x14ac:dyDescent="0.2"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2:72" x14ac:dyDescent="0.2">
      <c r="B159" s="99" t="s">
        <v>949</v>
      </c>
      <c r="C159" s="14"/>
      <c r="D159" s="14"/>
      <c r="E159" s="14"/>
      <c r="F159" s="14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2:72" x14ac:dyDescent="0.2"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2:75" ht="15" x14ac:dyDescent="0.25">
      <c r="B161" s="2" t="s">
        <v>977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2:75" ht="15" x14ac:dyDescent="0.25">
      <c r="B162" s="13" t="s">
        <v>128</v>
      </c>
      <c r="D162" s="2">
        <v>2014</v>
      </c>
      <c r="E162" s="2" t="str">
        <f>E139</f>
        <v>ETH/ESC, mittel</v>
      </c>
      <c r="F162" s="2" t="str">
        <f t="shared" ref="F162:AC162" si="130">F139</f>
        <v>VSE, Szen.1</v>
      </c>
      <c r="G162" s="2" t="str">
        <f t="shared" si="130"/>
        <v>VSE, Szen.2</v>
      </c>
      <c r="H162" s="2" t="str">
        <f t="shared" si="130"/>
        <v>VSE, Szen.3</v>
      </c>
      <c r="I162" s="2" t="str">
        <f t="shared" si="130"/>
        <v xml:space="preserve">BFE, WWB+C    </v>
      </c>
      <c r="J162" s="2" t="str">
        <f t="shared" si="130"/>
        <v>BFE, WWB+C+E</v>
      </c>
      <c r="K162" s="2" t="str">
        <f t="shared" si="130"/>
        <v xml:space="preserve">BFE, NEP+C     </v>
      </c>
      <c r="L162" s="2" t="str">
        <f t="shared" si="130"/>
        <v>BFE, NEP+C+E</v>
      </c>
      <c r="M162" s="2" t="str">
        <f t="shared" si="130"/>
        <v xml:space="preserve">BFE, NEP+E     </v>
      </c>
      <c r="N162" s="2" t="str">
        <f t="shared" si="130"/>
        <v xml:space="preserve">BFE, POM+C    </v>
      </c>
      <c r="O162" s="2" t="str">
        <f t="shared" si="130"/>
        <v>BFE, POM+C+E</v>
      </c>
      <c r="P162" s="2" t="str">
        <f t="shared" si="130"/>
        <v xml:space="preserve">BFE, POM+E    </v>
      </c>
      <c r="Q162" s="2" t="str">
        <f t="shared" si="130"/>
        <v>Cleantech</v>
      </c>
      <c r="R162" s="2" t="str">
        <f t="shared" si="130"/>
        <v>Greenpeace</v>
      </c>
      <c r="S162" s="2" t="str">
        <f t="shared" si="130"/>
        <v>PSI-sys, noClimPol</v>
      </c>
      <c r="T162" s="2" t="str">
        <f t="shared" si="130"/>
        <v>PSI-sys, -50% CO2</v>
      </c>
      <c r="U162" s="2" t="str">
        <f t="shared" si="130"/>
        <v>PSI-elc, WWB+Gas</v>
      </c>
      <c r="V162" s="2" t="str">
        <f t="shared" si="130"/>
        <v>PSI-elc, WWB+Imp</v>
      </c>
      <c r="W162" s="2" t="str">
        <f t="shared" si="130"/>
        <v>PSI-elc, WWB+Nuc</v>
      </c>
      <c r="X162" s="2" t="str">
        <f t="shared" si="130"/>
        <v>PSI-elc, POM+Gas</v>
      </c>
      <c r="Y162" s="2" t="str">
        <f t="shared" si="130"/>
        <v>PSI-elc, POM+Imp</v>
      </c>
      <c r="Z162" s="2" t="str">
        <f t="shared" si="130"/>
        <v>PSI-elc, POM+Nuc</v>
      </c>
      <c r="AA162" s="2" t="str">
        <f t="shared" si="130"/>
        <v>PSI-elc, NEP+Gas</v>
      </c>
      <c r="AB162" s="2" t="str">
        <f t="shared" si="130"/>
        <v>PSI-elc, NEP+Imp</v>
      </c>
      <c r="AC162" s="2" t="str">
        <f t="shared" si="130"/>
        <v>PSI-elc, NEP+Nuc</v>
      </c>
      <c r="AU162">
        <f t="shared" ref="AU162:AU174" si="131">D162</f>
        <v>2014</v>
      </c>
      <c r="AV162" s="160" t="str">
        <f t="shared" ref="AV162:AV174" si="132">E162</f>
        <v>ETH/ESC, mittel</v>
      </c>
      <c r="AW162" s="160" t="str">
        <f t="shared" ref="AW162:AW174" si="133">F162</f>
        <v>VSE, Szen.1</v>
      </c>
      <c r="AX162" s="160" t="str">
        <f t="shared" ref="AX162:AX174" si="134">G162</f>
        <v>VSE, Szen.2</v>
      </c>
      <c r="AY162" s="160" t="str">
        <f t="shared" ref="AY162:AY174" si="135">H162</f>
        <v>VSE, Szen.3</v>
      </c>
      <c r="AZ162" s="160" t="str">
        <f t="shared" ref="AZ162:AZ174" si="136">I162</f>
        <v xml:space="preserve">BFE, WWB+C    </v>
      </c>
      <c r="BA162" s="160" t="str">
        <f t="shared" ref="BA162:BA174" si="137">N162</f>
        <v xml:space="preserve">BFE, POM+C    </v>
      </c>
      <c r="BB162" s="160" t="str">
        <f t="shared" ref="BB162:BB174" si="138">K162</f>
        <v xml:space="preserve">BFE, NEP+C     </v>
      </c>
      <c r="BC162" s="160" t="str">
        <f t="shared" ref="BC162:BC174" si="139">P162</f>
        <v xml:space="preserve">BFE, POM+E    </v>
      </c>
      <c r="BD162" s="160" t="str">
        <f t="shared" ref="BD162:BD174" si="140">M162</f>
        <v xml:space="preserve">BFE, NEP+E     </v>
      </c>
      <c r="BE162" s="160" t="str">
        <f t="shared" ref="BE162:BE174" si="141">J162</f>
        <v>BFE, WWB+C+E</v>
      </c>
      <c r="BF162" s="160" t="str">
        <f t="shared" ref="BF162:BF174" si="142">O162</f>
        <v>BFE, POM+C+E</v>
      </c>
      <c r="BG162" s="160" t="str">
        <f t="shared" ref="BG162:BG174" si="143">L162</f>
        <v>BFE, NEP+C+E</v>
      </c>
      <c r="BH162" s="160" t="str">
        <f t="shared" ref="BH162:BH174" si="144">Q162</f>
        <v>Cleantech</v>
      </c>
      <c r="BI162" s="160" t="str">
        <f t="shared" ref="BI162:BI174" si="145">R162</f>
        <v>Greenpeace</v>
      </c>
      <c r="BJ162" s="160" t="str">
        <f t="shared" ref="BJ162:BJ174" si="146">S162</f>
        <v>PSI-sys, noClimPol</v>
      </c>
      <c r="BK162" s="160" t="str">
        <f t="shared" ref="BK162:BK174" si="147">T162</f>
        <v>PSI-sys, -50% CO2</v>
      </c>
      <c r="BL162" s="160" t="str">
        <f t="shared" ref="BL162:BL174" si="148">U162</f>
        <v>PSI-elc, WWB+Gas</v>
      </c>
      <c r="BM162" s="160" t="str">
        <f t="shared" ref="BM162:BM174" si="149">X162</f>
        <v>PSI-elc, POM+Gas</v>
      </c>
      <c r="BN162" s="160" t="str">
        <f t="shared" ref="BN162:BN174" si="150">AA162</f>
        <v>PSI-elc, NEP+Gas</v>
      </c>
      <c r="BO162" s="160" t="str">
        <f t="shared" ref="BO162:BO174" si="151">V162</f>
        <v>PSI-elc, WWB+Imp</v>
      </c>
      <c r="BP162" s="160" t="str">
        <f>Y162</f>
        <v>PSI-elc, POM+Imp</v>
      </c>
      <c r="BQ162" s="160" t="str">
        <f t="shared" ref="BQ162:BQ174" si="152">AB162</f>
        <v>PSI-elc, NEP+Imp</v>
      </c>
      <c r="BR162" s="160" t="str">
        <f t="shared" ref="BR162:BR174" si="153">W162</f>
        <v>PSI-elc, WWB+Nuc</v>
      </c>
      <c r="BS162" s="160" t="str">
        <f t="shared" ref="BS162:BS174" si="154">Z162</f>
        <v>PSI-elc, POM+Nuc</v>
      </c>
      <c r="BT162" s="160" t="str">
        <f>AC162</f>
        <v>PSI-elc, NEP+Nuc</v>
      </c>
      <c r="BU162" s="160"/>
      <c r="BV162" s="160"/>
      <c r="BW162" s="160"/>
    </row>
    <row r="163" spans="2:75" x14ac:dyDescent="0.2">
      <c r="C163" t="s">
        <v>934</v>
      </c>
      <c r="E163" s="1">
        <f>J689</f>
        <v>39</v>
      </c>
      <c r="F163" s="1"/>
      <c r="G163" s="1"/>
      <c r="H163" s="1"/>
      <c r="I163" s="1">
        <f t="shared" ref="I163:P163" ca="1" si="155">OFFSET($J$1546,I115,0)++OFFSET($J$1567,I115,0)</f>
        <v>34.21</v>
      </c>
      <c r="J163" s="1">
        <f t="shared" ca="1" si="155"/>
        <v>35.480000000000004</v>
      </c>
      <c r="K163" s="1">
        <f t="shared" ca="1" si="155"/>
        <v>34.21</v>
      </c>
      <c r="L163" s="1">
        <f t="shared" ca="1" si="155"/>
        <v>35.480000000000004</v>
      </c>
      <c r="M163" s="1">
        <f t="shared" ca="1" si="155"/>
        <v>35.480000000000004</v>
      </c>
      <c r="N163" s="1">
        <f t="shared" ca="1" si="155"/>
        <v>34.21</v>
      </c>
      <c r="O163" s="1">
        <f t="shared" ca="1" si="155"/>
        <v>35.480000000000004</v>
      </c>
      <c r="P163" s="1">
        <f t="shared" ca="1" si="155"/>
        <v>35.480000000000004</v>
      </c>
      <c r="Q163" s="1">
        <f>J1019+J1020</f>
        <v>34.450000000000003</v>
      </c>
      <c r="R163" s="1">
        <f>J1124-N65</f>
        <v>34.506</v>
      </c>
      <c r="S163" s="1">
        <f>J3111</f>
        <v>35.645694444444445</v>
      </c>
      <c r="T163" s="1">
        <f>J3134</f>
        <v>36.671333333333337</v>
      </c>
      <c r="AT163" t="str">
        <f t="shared" ref="AT163:AT174" si="156">C163</f>
        <v>Hydro</v>
      </c>
      <c r="AU163">
        <f t="shared" si="131"/>
        <v>0</v>
      </c>
      <c r="AV163">
        <f t="shared" si="132"/>
        <v>39</v>
      </c>
      <c r="AW163">
        <f t="shared" si="133"/>
        <v>0</v>
      </c>
      <c r="AX163">
        <f t="shared" si="134"/>
        <v>0</v>
      </c>
      <c r="AY163">
        <f t="shared" si="135"/>
        <v>0</v>
      </c>
      <c r="AZ163">
        <f t="shared" ca="1" si="136"/>
        <v>34.21</v>
      </c>
      <c r="BA163">
        <f t="shared" ca="1" si="137"/>
        <v>34.21</v>
      </c>
      <c r="BB163">
        <f t="shared" ca="1" si="138"/>
        <v>34.21</v>
      </c>
      <c r="BC163">
        <f t="shared" ca="1" si="139"/>
        <v>35.480000000000004</v>
      </c>
      <c r="BD163">
        <f t="shared" ca="1" si="140"/>
        <v>35.480000000000004</v>
      </c>
      <c r="BE163">
        <f t="shared" ca="1" si="141"/>
        <v>35.480000000000004</v>
      </c>
      <c r="BF163">
        <f t="shared" ca="1" si="142"/>
        <v>35.480000000000004</v>
      </c>
      <c r="BG163">
        <f t="shared" ca="1" si="143"/>
        <v>35.480000000000004</v>
      </c>
      <c r="BH163">
        <f t="shared" si="144"/>
        <v>34.450000000000003</v>
      </c>
      <c r="BI163">
        <f t="shared" si="145"/>
        <v>34.506</v>
      </c>
      <c r="BJ163">
        <f t="shared" si="146"/>
        <v>35.645694444444445</v>
      </c>
      <c r="BK163">
        <f t="shared" si="147"/>
        <v>36.671333333333337</v>
      </c>
      <c r="BL163">
        <f t="shared" si="148"/>
        <v>0</v>
      </c>
      <c r="BM163">
        <f t="shared" si="149"/>
        <v>0</v>
      </c>
      <c r="BN163">
        <f t="shared" si="150"/>
        <v>0</v>
      </c>
      <c r="BO163">
        <f t="shared" si="151"/>
        <v>0</v>
      </c>
      <c r="BP163">
        <f t="shared" ref="BP163:BP174" si="157">Y163</f>
        <v>0</v>
      </c>
      <c r="BQ163">
        <f t="shared" si="152"/>
        <v>0</v>
      </c>
      <c r="BR163">
        <f t="shared" si="153"/>
        <v>0</v>
      </c>
      <c r="BS163">
        <f t="shared" si="154"/>
        <v>0</v>
      </c>
      <c r="BT163">
        <f t="shared" ref="BT163:BT174" si="158">AC163</f>
        <v>0</v>
      </c>
    </row>
    <row r="164" spans="2:75" x14ac:dyDescent="0.2">
      <c r="C164" t="s">
        <v>961</v>
      </c>
      <c r="D164" s="25">
        <f>R63</f>
        <v>17.242999999999999</v>
      </c>
      <c r="E164" s="1"/>
      <c r="F164" s="1">
        <f>J873</f>
        <v>17</v>
      </c>
      <c r="G164" s="1">
        <f>J880</f>
        <v>17</v>
      </c>
      <c r="H164" s="1">
        <f>J888</f>
        <v>19</v>
      </c>
      <c r="I164" s="1"/>
      <c r="J164" s="1"/>
      <c r="K164" s="1"/>
      <c r="L164" s="1"/>
      <c r="M164" s="1"/>
      <c r="N164" s="1"/>
      <c r="O164" s="1"/>
      <c r="P164" s="1"/>
      <c r="Q164" s="1"/>
      <c r="S164" s="1"/>
      <c r="T164" s="1"/>
      <c r="U164" s="1">
        <f t="shared" ref="U164:AC164" ca="1" si="159">OFFSET($J$2828,X115,0)</f>
        <v>18.545724999999972</v>
      </c>
      <c r="V164" s="1">
        <f t="shared" ca="1" si="159"/>
        <v>18.545724999999972</v>
      </c>
      <c r="W164" s="1">
        <f t="shared" ca="1" si="159"/>
        <v>18.545724999999972</v>
      </c>
      <c r="X164" s="1">
        <f t="shared" ca="1" si="159"/>
        <v>18.545724999999972</v>
      </c>
      <c r="Y164" s="1">
        <f t="shared" ca="1" si="159"/>
        <v>18.545724999999972</v>
      </c>
      <c r="Z164" s="1">
        <f t="shared" ca="1" si="159"/>
        <v>18.545724999999972</v>
      </c>
      <c r="AA164" s="1">
        <f t="shared" ca="1" si="159"/>
        <v>18.545724999999972</v>
      </c>
      <c r="AB164" s="1">
        <f t="shared" ca="1" si="159"/>
        <v>18.545724999999972</v>
      </c>
      <c r="AC164" s="1">
        <f t="shared" ca="1" si="159"/>
        <v>18.545724999999972</v>
      </c>
      <c r="AT164" t="str">
        <f t="shared" si="156"/>
        <v>Hydro river</v>
      </c>
      <c r="AU164">
        <f t="shared" si="131"/>
        <v>17.242999999999999</v>
      </c>
      <c r="AV164">
        <f t="shared" si="132"/>
        <v>0</v>
      </c>
      <c r="AW164">
        <f t="shared" si="133"/>
        <v>17</v>
      </c>
      <c r="AX164">
        <f t="shared" si="134"/>
        <v>17</v>
      </c>
      <c r="AY164">
        <f t="shared" si="135"/>
        <v>19</v>
      </c>
      <c r="AZ164">
        <f t="shared" si="136"/>
        <v>0</v>
      </c>
      <c r="BA164">
        <f t="shared" si="137"/>
        <v>0</v>
      </c>
      <c r="BB164">
        <f t="shared" si="138"/>
        <v>0</v>
      </c>
      <c r="BC164">
        <f t="shared" si="139"/>
        <v>0</v>
      </c>
      <c r="BD164">
        <f t="shared" si="140"/>
        <v>0</v>
      </c>
      <c r="BE164">
        <f t="shared" si="141"/>
        <v>0</v>
      </c>
      <c r="BF164">
        <f t="shared" si="142"/>
        <v>0</v>
      </c>
      <c r="BG164">
        <f t="shared" si="143"/>
        <v>0</v>
      </c>
      <c r="BH164">
        <f t="shared" si="144"/>
        <v>0</v>
      </c>
      <c r="BI164">
        <f t="shared" si="145"/>
        <v>0</v>
      </c>
      <c r="BJ164">
        <f t="shared" si="146"/>
        <v>0</v>
      </c>
      <c r="BK164">
        <f t="shared" si="147"/>
        <v>0</v>
      </c>
      <c r="BL164">
        <f t="shared" ca="1" si="148"/>
        <v>18.545724999999972</v>
      </c>
      <c r="BM164">
        <f t="shared" ca="1" si="149"/>
        <v>18.545724999999972</v>
      </c>
      <c r="BN164">
        <f t="shared" ca="1" si="150"/>
        <v>18.545724999999972</v>
      </c>
      <c r="BO164">
        <f t="shared" ca="1" si="151"/>
        <v>18.545724999999972</v>
      </c>
      <c r="BP164">
        <f t="shared" ca="1" si="157"/>
        <v>18.545724999999972</v>
      </c>
      <c r="BQ164">
        <f t="shared" ca="1" si="152"/>
        <v>18.545724999999972</v>
      </c>
      <c r="BR164">
        <f t="shared" ca="1" si="153"/>
        <v>18.545724999999972</v>
      </c>
      <c r="BS164">
        <f t="shared" ca="1" si="154"/>
        <v>18.545724999999972</v>
      </c>
      <c r="BT164">
        <f t="shared" ca="1" si="158"/>
        <v>18.545724999999972</v>
      </c>
    </row>
    <row r="165" spans="2:75" x14ac:dyDescent="0.2">
      <c r="C165" t="s">
        <v>936</v>
      </c>
      <c r="D165">
        <f>R66</f>
        <v>19.71</v>
      </c>
      <c r="E165" s="1"/>
      <c r="F165" s="1">
        <f>J872</f>
        <v>18</v>
      </c>
      <c r="G165" s="1">
        <f>J879</f>
        <v>19</v>
      </c>
      <c r="H165" s="1">
        <f>J887</f>
        <v>19.3</v>
      </c>
      <c r="I165" s="1"/>
      <c r="J165" s="1"/>
      <c r="K165" s="1"/>
      <c r="L165" s="1"/>
      <c r="M165" s="1"/>
      <c r="N165" s="1"/>
      <c r="O165" s="1"/>
      <c r="P165" s="1"/>
      <c r="Q165" s="1"/>
      <c r="S165" s="1"/>
      <c r="T165" s="1"/>
      <c r="U165" s="1">
        <f t="shared" ref="U165:AC165" ca="1" si="160">OFFSET($J$2829,X115,0)+OFFSET($J$2830,X115,0)+OFFSET($J$2831,X115,0)</f>
        <v>18.59545983886747</v>
      </c>
      <c r="V165" s="1">
        <f t="shared" ca="1" si="160"/>
        <v>19.346125840572366</v>
      </c>
      <c r="W165" s="1">
        <f t="shared" ca="1" si="160"/>
        <v>18.166610495021082</v>
      </c>
      <c r="X165" s="1">
        <f t="shared" ca="1" si="160"/>
        <v>18.497713793628552</v>
      </c>
      <c r="Y165" s="1">
        <f t="shared" ca="1" si="160"/>
        <v>19.374870111420364</v>
      </c>
      <c r="Z165" s="1">
        <f t="shared" ca="1" si="160"/>
        <v>17.939405000013664</v>
      </c>
      <c r="AA165" s="1">
        <f t="shared" ca="1" si="160"/>
        <v>18.899097261130127</v>
      </c>
      <c r="AB165" s="1">
        <f t="shared" ca="1" si="160"/>
        <v>19.353386419733891</v>
      </c>
      <c r="AC165" s="1">
        <f t="shared" ca="1" si="160"/>
        <v>17.939405000013636</v>
      </c>
      <c r="AT165" t="str">
        <f t="shared" si="156"/>
        <v>Hydro storage</v>
      </c>
      <c r="AU165">
        <f t="shared" si="131"/>
        <v>19.71</v>
      </c>
      <c r="AV165">
        <f t="shared" si="132"/>
        <v>0</v>
      </c>
      <c r="AW165">
        <f t="shared" si="133"/>
        <v>18</v>
      </c>
      <c r="AX165">
        <f t="shared" si="134"/>
        <v>19</v>
      </c>
      <c r="AY165">
        <f t="shared" si="135"/>
        <v>19.3</v>
      </c>
      <c r="AZ165">
        <f t="shared" si="136"/>
        <v>0</v>
      </c>
      <c r="BA165">
        <f t="shared" si="137"/>
        <v>0</v>
      </c>
      <c r="BB165">
        <f t="shared" si="138"/>
        <v>0</v>
      </c>
      <c r="BC165">
        <f t="shared" si="139"/>
        <v>0</v>
      </c>
      <c r="BD165">
        <f t="shared" si="140"/>
        <v>0</v>
      </c>
      <c r="BE165">
        <f t="shared" si="141"/>
        <v>0</v>
      </c>
      <c r="BF165">
        <f t="shared" si="142"/>
        <v>0</v>
      </c>
      <c r="BG165">
        <f t="shared" si="143"/>
        <v>0</v>
      </c>
      <c r="BH165">
        <f t="shared" si="144"/>
        <v>0</v>
      </c>
      <c r="BI165">
        <f t="shared" si="145"/>
        <v>0</v>
      </c>
      <c r="BJ165">
        <f t="shared" si="146"/>
        <v>0</v>
      </c>
      <c r="BK165">
        <f t="shared" si="147"/>
        <v>0</v>
      </c>
      <c r="BL165">
        <f t="shared" ca="1" si="148"/>
        <v>18.59545983886747</v>
      </c>
      <c r="BM165">
        <f t="shared" ca="1" si="149"/>
        <v>18.497713793628552</v>
      </c>
      <c r="BN165">
        <f t="shared" ca="1" si="150"/>
        <v>18.899097261130127</v>
      </c>
      <c r="BO165">
        <f t="shared" ca="1" si="151"/>
        <v>19.346125840572366</v>
      </c>
      <c r="BP165">
        <f t="shared" ca="1" si="157"/>
        <v>19.374870111420364</v>
      </c>
      <c r="BQ165">
        <f t="shared" ca="1" si="152"/>
        <v>19.353386419733891</v>
      </c>
      <c r="BR165">
        <f t="shared" ca="1" si="153"/>
        <v>18.166610495021082</v>
      </c>
      <c r="BS165">
        <f t="shared" ca="1" si="154"/>
        <v>17.939405000013664</v>
      </c>
      <c r="BT165">
        <f t="shared" ca="1" si="158"/>
        <v>17.939405000013636</v>
      </c>
    </row>
    <row r="166" spans="2:75" x14ac:dyDescent="0.2">
      <c r="C166" t="s">
        <v>935</v>
      </c>
      <c r="D166">
        <f>R62</f>
        <v>26.37</v>
      </c>
      <c r="E166" s="1">
        <f>J686</f>
        <v>9</v>
      </c>
      <c r="F166" s="1">
        <f>J871</f>
        <v>0</v>
      </c>
      <c r="G166" s="1">
        <f>J871</f>
        <v>0</v>
      </c>
      <c r="H166" s="1">
        <f>J871</f>
        <v>0</v>
      </c>
      <c r="I166" s="1">
        <f t="shared" ref="I166:P166" ca="1" si="161">OFFSET($J$1549,I115,0)</f>
        <v>0</v>
      </c>
      <c r="J166" s="1">
        <f t="shared" ca="1" si="161"/>
        <v>0</v>
      </c>
      <c r="K166" s="1">
        <f t="shared" ca="1" si="161"/>
        <v>0</v>
      </c>
      <c r="L166" s="1">
        <f t="shared" ca="1" si="161"/>
        <v>0</v>
      </c>
      <c r="M166" s="1">
        <f t="shared" ca="1" si="161"/>
        <v>0</v>
      </c>
      <c r="N166" s="1">
        <f t="shared" ca="1" si="161"/>
        <v>0</v>
      </c>
      <c r="O166" s="1">
        <f t="shared" ca="1" si="161"/>
        <v>0</v>
      </c>
      <c r="P166" s="1">
        <f t="shared" ca="1" si="161"/>
        <v>0</v>
      </c>
      <c r="Q166" s="1">
        <f>J1017</f>
        <v>0</v>
      </c>
      <c r="R166" s="1">
        <f>J1121</f>
        <v>0</v>
      </c>
      <c r="S166" s="1">
        <f>J3112</f>
        <v>2.8191111111111113</v>
      </c>
      <c r="T166" s="1">
        <f>J3135</f>
        <v>2.8191111111111113</v>
      </c>
      <c r="U166" s="1">
        <f t="shared" ref="U166:AC166" ca="1" si="162">OFFSET($J$2821,X115,0)</f>
        <v>3.9104166666666669</v>
      </c>
      <c r="V166" s="1">
        <f t="shared" ca="1" si="162"/>
        <v>3.9104166666666669</v>
      </c>
      <c r="W166" s="1">
        <f t="shared" ca="1" si="162"/>
        <v>24.934416666666696</v>
      </c>
      <c r="X166" s="1">
        <f t="shared" ca="1" si="162"/>
        <v>3.9104166666666669</v>
      </c>
      <c r="Y166" s="1">
        <f t="shared" ca="1" si="162"/>
        <v>3.9104166666666669</v>
      </c>
      <c r="Z166" s="1">
        <f t="shared" ca="1" si="162"/>
        <v>24.284600000000026</v>
      </c>
      <c r="AA166" s="1">
        <f t="shared" ca="1" si="162"/>
        <v>3.9104166666666669</v>
      </c>
      <c r="AB166" s="1">
        <f t="shared" ca="1" si="162"/>
        <v>3.9104166666666669</v>
      </c>
      <c r="AC166" s="1">
        <f t="shared" ca="1" si="162"/>
        <v>23.580131583506386</v>
      </c>
      <c r="AT166" t="str">
        <f t="shared" si="156"/>
        <v>Nuclear</v>
      </c>
      <c r="AU166">
        <f t="shared" si="131"/>
        <v>26.37</v>
      </c>
      <c r="AV166">
        <f t="shared" si="132"/>
        <v>9</v>
      </c>
      <c r="AW166">
        <f t="shared" si="133"/>
        <v>0</v>
      </c>
      <c r="AX166">
        <f t="shared" si="134"/>
        <v>0</v>
      </c>
      <c r="AY166">
        <f t="shared" si="135"/>
        <v>0</v>
      </c>
      <c r="AZ166">
        <f t="shared" ca="1" si="136"/>
        <v>0</v>
      </c>
      <c r="BA166">
        <f t="shared" ca="1" si="137"/>
        <v>0</v>
      </c>
      <c r="BB166">
        <f t="shared" ca="1" si="138"/>
        <v>0</v>
      </c>
      <c r="BC166">
        <f t="shared" ca="1" si="139"/>
        <v>0</v>
      </c>
      <c r="BD166">
        <f t="shared" ca="1" si="140"/>
        <v>0</v>
      </c>
      <c r="BE166">
        <f t="shared" ca="1" si="141"/>
        <v>0</v>
      </c>
      <c r="BF166">
        <f t="shared" ca="1" si="142"/>
        <v>0</v>
      </c>
      <c r="BG166">
        <f t="shared" ca="1" si="143"/>
        <v>0</v>
      </c>
      <c r="BH166">
        <f t="shared" si="144"/>
        <v>0</v>
      </c>
      <c r="BI166">
        <f t="shared" si="145"/>
        <v>0</v>
      </c>
      <c r="BJ166">
        <f t="shared" si="146"/>
        <v>2.8191111111111113</v>
      </c>
      <c r="BK166">
        <f t="shared" si="147"/>
        <v>2.8191111111111113</v>
      </c>
      <c r="BL166">
        <f t="shared" ca="1" si="148"/>
        <v>3.9104166666666669</v>
      </c>
      <c r="BM166">
        <f t="shared" ca="1" si="149"/>
        <v>3.9104166666666669</v>
      </c>
      <c r="BN166">
        <f t="shared" ca="1" si="150"/>
        <v>3.9104166666666669</v>
      </c>
      <c r="BO166">
        <f t="shared" ca="1" si="151"/>
        <v>3.9104166666666669</v>
      </c>
      <c r="BP166">
        <f t="shared" ca="1" si="157"/>
        <v>3.9104166666666669</v>
      </c>
      <c r="BQ166">
        <f t="shared" ca="1" si="152"/>
        <v>3.9104166666666669</v>
      </c>
      <c r="BR166">
        <f t="shared" ca="1" si="153"/>
        <v>24.934416666666696</v>
      </c>
      <c r="BS166">
        <f t="shared" ca="1" si="154"/>
        <v>24.284600000000026</v>
      </c>
      <c r="BT166">
        <f t="shared" ca="1" si="158"/>
        <v>23.580131583506386</v>
      </c>
    </row>
    <row r="167" spans="2:75" x14ac:dyDescent="0.2">
      <c r="C167" t="s">
        <v>7</v>
      </c>
      <c r="D167" s="25">
        <f>R74</f>
        <v>0.84160000000000001</v>
      </c>
      <c r="E167" s="1">
        <f>J690</f>
        <v>5.9999999999999991</v>
      </c>
      <c r="F167" s="1">
        <f>J876</f>
        <v>0.88</v>
      </c>
      <c r="G167" s="1">
        <f>J883</f>
        <v>1.48</v>
      </c>
      <c r="H167" s="1">
        <f>J891</f>
        <v>2.08</v>
      </c>
      <c r="I167" s="1">
        <f t="shared" ref="I167:P167" ca="1" si="163">OFFSET($J$1557,I115,0)</f>
        <v>2.52</v>
      </c>
      <c r="J167" s="1">
        <f t="shared" ca="1" si="163"/>
        <v>4.4400000000000004</v>
      </c>
      <c r="K167" s="1">
        <f t="shared" ca="1" si="163"/>
        <v>2.52</v>
      </c>
      <c r="L167" s="1">
        <f t="shared" ca="1" si="163"/>
        <v>4.4400000000000004</v>
      </c>
      <c r="M167" s="1">
        <f t="shared" ca="1" si="163"/>
        <v>4.4400000000000004</v>
      </c>
      <c r="N167" s="1">
        <f t="shared" ca="1" si="163"/>
        <v>2.52</v>
      </c>
      <c r="O167" s="1">
        <f t="shared" ca="1" si="163"/>
        <v>4.4400000000000004</v>
      </c>
      <c r="P167" s="1">
        <f t="shared" ca="1" si="163"/>
        <v>4.4400000000000004</v>
      </c>
      <c r="Q167" s="1">
        <f>J1021</f>
        <v>13.67</v>
      </c>
      <c r="R167" s="1">
        <f>J1126</f>
        <v>15.5</v>
      </c>
      <c r="S167" s="1">
        <f>J3117</f>
        <v>3.1194444444444441E-2</v>
      </c>
      <c r="T167" s="1">
        <f>J3140</f>
        <v>13.052027777777775</v>
      </c>
      <c r="U167" s="1">
        <f t="shared" ref="U167:AC167" ca="1" si="164">OFFSET($J$2824,X115,0)</f>
        <v>5.332558555831028</v>
      </c>
      <c r="V167" s="1">
        <f t="shared" ca="1" si="164"/>
        <v>5.332558555831028</v>
      </c>
      <c r="W167" s="1">
        <f t="shared" ca="1" si="164"/>
        <v>2.8293715983265</v>
      </c>
      <c r="X167" s="1">
        <f t="shared" ca="1" si="164"/>
        <v>5.332558555831028</v>
      </c>
      <c r="Y167" s="1">
        <f t="shared" ca="1" si="164"/>
        <v>5.332558555831028</v>
      </c>
      <c r="Z167" s="1">
        <f t="shared" ca="1" si="164"/>
        <v>1.5729522976244694E-3</v>
      </c>
      <c r="AA167" s="1">
        <f t="shared" ca="1" si="164"/>
        <v>5.332558555831028</v>
      </c>
      <c r="AB167" s="1">
        <f t="shared" ca="1" si="164"/>
        <v>5.332558555831028</v>
      </c>
      <c r="AC167" s="1">
        <f t="shared" ca="1" si="164"/>
        <v>1.5398826919342443E-3</v>
      </c>
      <c r="AT167" t="str">
        <f t="shared" si="156"/>
        <v>PV</v>
      </c>
      <c r="AU167">
        <f t="shared" si="131"/>
        <v>0.84160000000000001</v>
      </c>
      <c r="AV167">
        <f t="shared" si="132"/>
        <v>5.9999999999999991</v>
      </c>
      <c r="AW167">
        <f t="shared" si="133"/>
        <v>0.88</v>
      </c>
      <c r="AX167">
        <f t="shared" si="134"/>
        <v>1.48</v>
      </c>
      <c r="AY167">
        <f t="shared" si="135"/>
        <v>2.08</v>
      </c>
      <c r="AZ167">
        <f t="shared" ca="1" si="136"/>
        <v>2.52</v>
      </c>
      <c r="BA167">
        <f t="shared" ca="1" si="137"/>
        <v>2.52</v>
      </c>
      <c r="BB167">
        <f t="shared" ca="1" si="138"/>
        <v>2.52</v>
      </c>
      <c r="BC167">
        <f t="shared" ca="1" si="139"/>
        <v>4.4400000000000004</v>
      </c>
      <c r="BD167">
        <f t="shared" ca="1" si="140"/>
        <v>4.4400000000000004</v>
      </c>
      <c r="BE167">
        <f t="shared" ca="1" si="141"/>
        <v>4.4400000000000004</v>
      </c>
      <c r="BF167">
        <f t="shared" ca="1" si="142"/>
        <v>4.4400000000000004</v>
      </c>
      <c r="BG167">
        <f t="shared" ca="1" si="143"/>
        <v>4.4400000000000004</v>
      </c>
      <c r="BH167">
        <f t="shared" si="144"/>
        <v>13.67</v>
      </c>
      <c r="BI167">
        <f t="shared" si="145"/>
        <v>15.5</v>
      </c>
      <c r="BJ167">
        <f t="shared" si="146"/>
        <v>3.1194444444444441E-2</v>
      </c>
      <c r="BK167">
        <f t="shared" si="147"/>
        <v>13.052027777777775</v>
      </c>
      <c r="BL167">
        <f t="shared" ca="1" si="148"/>
        <v>5.332558555831028</v>
      </c>
      <c r="BM167">
        <f t="shared" ca="1" si="149"/>
        <v>5.332558555831028</v>
      </c>
      <c r="BN167">
        <f t="shared" ca="1" si="150"/>
        <v>5.332558555831028</v>
      </c>
      <c r="BO167">
        <f t="shared" ca="1" si="151"/>
        <v>5.332558555831028</v>
      </c>
      <c r="BP167">
        <f t="shared" ca="1" si="157"/>
        <v>5.332558555831028</v>
      </c>
      <c r="BQ167">
        <f t="shared" ca="1" si="152"/>
        <v>5.332558555831028</v>
      </c>
      <c r="BR167">
        <f t="shared" ca="1" si="153"/>
        <v>2.8293715983265</v>
      </c>
      <c r="BS167">
        <f t="shared" ca="1" si="154"/>
        <v>1.5729522976244694E-3</v>
      </c>
      <c r="BT167">
        <f t="shared" ca="1" si="158"/>
        <v>1.5398826919342443E-3</v>
      </c>
    </row>
    <row r="168" spans="2:75" x14ac:dyDescent="0.2">
      <c r="C168" t="s">
        <v>8</v>
      </c>
      <c r="D168" s="25">
        <f>R75</f>
        <v>0.1009</v>
      </c>
      <c r="E168" s="1">
        <f>J691</f>
        <v>2.5</v>
      </c>
      <c r="F168" s="1">
        <f>J875</f>
        <v>0.74</v>
      </c>
      <c r="G168" s="1">
        <f>J882</f>
        <v>1.1400000000000001</v>
      </c>
      <c r="H168" s="1">
        <f>J890</f>
        <v>1.54</v>
      </c>
      <c r="I168" s="1">
        <f t="shared" ref="I168:P168" ca="1" si="165">OFFSET($J$1558,I115,0)</f>
        <v>0.77</v>
      </c>
      <c r="J168" s="1">
        <f t="shared" ca="1" si="165"/>
        <v>1.76</v>
      </c>
      <c r="K168" s="1">
        <f t="shared" ca="1" si="165"/>
        <v>0.77</v>
      </c>
      <c r="L168" s="1">
        <f t="shared" ca="1" si="165"/>
        <v>1.76</v>
      </c>
      <c r="M168" s="1">
        <f t="shared" ca="1" si="165"/>
        <v>1.76</v>
      </c>
      <c r="N168" s="1">
        <f t="shared" ca="1" si="165"/>
        <v>0.77</v>
      </c>
      <c r="O168" s="1">
        <f t="shared" ca="1" si="165"/>
        <v>1.76</v>
      </c>
      <c r="P168" s="1">
        <f t="shared" ca="1" si="165"/>
        <v>1.76</v>
      </c>
      <c r="Q168" s="1">
        <f>J1022</f>
        <v>4.45</v>
      </c>
      <c r="R168" s="1">
        <f>J1125</f>
        <v>3</v>
      </c>
      <c r="S168" s="1">
        <f>J3116</f>
        <v>0</v>
      </c>
      <c r="T168" s="1">
        <f>J3139</f>
        <v>4.1248888888888882</v>
      </c>
      <c r="U168" s="1">
        <f t="shared" ref="U168:AC168" ca="1" si="166">OFFSET($J$2825,X115,0)</f>
        <v>5.4450538233081396E-4</v>
      </c>
      <c r="V168" s="1">
        <f t="shared" ca="1" si="166"/>
        <v>1.1531111111111001</v>
      </c>
      <c r="W168" s="1">
        <f t="shared" ca="1" si="166"/>
        <v>5.4450538233081396E-4</v>
      </c>
      <c r="X168" s="1">
        <f t="shared" ca="1" si="166"/>
        <v>5.4450538233081396E-4</v>
      </c>
      <c r="Y168" s="1">
        <f t="shared" ca="1" si="166"/>
        <v>1.1531111111111001</v>
      </c>
      <c r="Z168" s="1">
        <f t="shared" ca="1" si="166"/>
        <v>4.9156301387608614E-4</v>
      </c>
      <c r="AA168" s="1">
        <f t="shared" ca="1" si="166"/>
        <v>1.1531111111111001</v>
      </c>
      <c r="AB168" s="1">
        <f t="shared" ca="1" si="166"/>
        <v>1.1531111111111001</v>
      </c>
      <c r="AC168" s="1">
        <f t="shared" ca="1" si="166"/>
        <v>4.8056064167264996E-4</v>
      </c>
      <c r="AT168" t="str">
        <f t="shared" si="156"/>
        <v>Wind</v>
      </c>
      <c r="AU168">
        <f t="shared" si="131"/>
        <v>0.1009</v>
      </c>
      <c r="AV168">
        <f t="shared" si="132"/>
        <v>2.5</v>
      </c>
      <c r="AW168">
        <f t="shared" si="133"/>
        <v>0.74</v>
      </c>
      <c r="AX168">
        <f t="shared" si="134"/>
        <v>1.1400000000000001</v>
      </c>
      <c r="AY168">
        <f t="shared" si="135"/>
        <v>1.54</v>
      </c>
      <c r="AZ168">
        <f t="shared" ca="1" si="136"/>
        <v>0.77</v>
      </c>
      <c r="BA168">
        <f t="shared" ca="1" si="137"/>
        <v>0.77</v>
      </c>
      <c r="BB168">
        <f t="shared" ca="1" si="138"/>
        <v>0.77</v>
      </c>
      <c r="BC168">
        <f t="shared" ca="1" si="139"/>
        <v>1.76</v>
      </c>
      <c r="BD168">
        <f t="shared" ca="1" si="140"/>
        <v>1.76</v>
      </c>
      <c r="BE168">
        <f t="shared" ca="1" si="141"/>
        <v>1.76</v>
      </c>
      <c r="BF168">
        <f t="shared" ca="1" si="142"/>
        <v>1.76</v>
      </c>
      <c r="BG168">
        <f t="shared" ca="1" si="143"/>
        <v>1.76</v>
      </c>
      <c r="BH168">
        <f t="shared" si="144"/>
        <v>4.45</v>
      </c>
      <c r="BI168">
        <f t="shared" si="145"/>
        <v>3</v>
      </c>
      <c r="BJ168">
        <f t="shared" si="146"/>
        <v>0</v>
      </c>
      <c r="BK168">
        <f t="shared" si="147"/>
        <v>4.1248888888888882</v>
      </c>
      <c r="BL168">
        <f t="shared" ca="1" si="148"/>
        <v>5.4450538233081396E-4</v>
      </c>
      <c r="BM168">
        <f t="shared" ca="1" si="149"/>
        <v>5.4450538233081396E-4</v>
      </c>
      <c r="BN168">
        <f t="shared" ca="1" si="150"/>
        <v>1.1531111111111001</v>
      </c>
      <c r="BO168">
        <f t="shared" ca="1" si="151"/>
        <v>1.1531111111111001</v>
      </c>
      <c r="BP168">
        <f t="shared" ca="1" si="157"/>
        <v>1.1531111111111001</v>
      </c>
      <c r="BQ168">
        <f t="shared" ca="1" si="152"/>
        <v>1.1531111111111001</v>
      </c>
      <c r="BR168">
        <f t="shared" ca="1" si="153"/>
        <v>5.4450538233081396E-4</v>
      </c>
      <c r="BS168">
        <f t="shared" ca="1" si="154"/>
        <v>4.9156301387608614E-4</v>
      </c>
      <c r="BT168">
        <f t="shared" ca="1" si="158"/>
        <v>4.8056064167264996E-4</v>
      </c>
    </row>
    <row r="169" spans="2:75" x14ac:dyDescent="0.2">
      <c r="C169" t="s">
        <v>937</v>
      </c>
      <c r="E169" s="1"/>
      <c r="F169" s="1">
        <f>J874</f>
        <v>4.2</v>
      </c>
      <c r="G169" s="1">
        <f>J881</f>
        <v>5.3999999999999995</v>
      </c>
      <c r="H169" s="1">
        <f>J889</f>
        <v>6.3</v>
      </c>
      <c r="I169" s="1"/>
      <c r="J169" s="1"/>
      <c r="K169" s="1"/>
      <c r="L169" s="1"/>
      <c r="M169" s="1"/>
      <c r="N169" s="1"/>
      <c r="O169" s="1"/>
      <c r="P169" s="1"/>
      <c r="Q169" s="1"/>
      <c r="U169" s="1"/>
      <c r="V169" s="1"/>
      <c r="W169" s="1"/>
      <c r="X169" s="1"/>
      <c r="Y169" s="1"/>
      <c r="Z169" s="1"/>
      <c r="AA169" s="1"/>
      <c r="AB169" s="1"/>
      <c r="AC169" s="1"/>
      <c r="AT169" t="str">
        <f t="shared" si="156"/>
        <v>Biomass+Geo</v>
      </c>
      <c r="AU169">
        <f t="shared" si="131"/>
        <v>0</v>
      </c>
      <c r="AV169">
        <f t="shared" si="132"/>
        <v>0</v>
      </c>
      <c r="AW169">
        <f t="shared" si="133"/>
        <v>4.2</v>
      </c>
      <c r="AX169">
        <f t="shared" si="134"/>
        <v>5.3999999999999995</v>
      </c>
      <c r="AY169">
        <f t="shared" si="135"/>
        <v>6.3</v>
      </c>
      <c r="AZ169">
        <f t="shared" si="136"/>
        <v>0</v>
      </c>
      <c r="BA169">
        <f t="shared" si="137"/>
        <v>0</v>
      </c>
      <c r="BB169">
        <f t="shared" si="138"/>
        <v>0</v>
      </c>
      <c r="BC169">
        <f t="shared" si="139"/>
        <v>0</v>
      </c>
      <c r="BD169">
        <f t="shared" si="140"/>
        <v>0</v>
      </c>
      <c r="BE169">
        <f t="shared" si="141"/>
        <v>0</v>
      </c>
      <c r="BF169">
        <f t="shared" si="142"/>
        <v>0</v>
      </c>
      <c r="BG169">
        <f t="shared" si="143"/>
        <v>0</v>
      </c>
      <c r="BH169">
        <f t="shared" si="144"/>
        <v>0</v>
      </c>
      <c r="BI169">
        <f t="shared" si="145"/>
        <v>0</v>
      </c>
      <c r="BJ169">
        <f t="shared" si="146"/>
        <v>0</v>
      </c>
      <c r="BK169">
        <f t="shared" si="147"/>
        <v>0</v>
      </c>
      <c r="BL169">
        <f t="shared" si="148"/>
        <v>0</v>
      </c>
      <c r="BM169">
        <f t="shared" si="149"/>
        <v>0</v>
      </c>
      <c r="BN169">
        <f t="shared" si="150"/>
        <v>0</v>
      </c>
      <c r="BO169">
        <f t="shared" si="151"/>
        <v>0</v>
      </c>
      <c r="BP169">
        <f t="shared" si="157"/>
        <v>0</v>
      </c>
      <c r="BQ169">
        <f t="shared" si="152"/>
        <v>0</v>
      </c>
      <c r="BR169">
        <f t="shared" si="153"/>
        <v>0</v>
      </c>
      <c r="BS169">
        <f t="shared" si="154"/>
        <v>0</v>
      </c>
      <c r="BT169">
        <f t="shared" si="158"/>
        <v>0</v>
      </c>
    </row>
    <row r="170" spans="2:75" x14ac:dyDescent="0.2">
      <c r="C170" t="s">
        <v>960</v>
      </c>
      <c r="D170">
        <v>0</v>
      </c>
      <c r="E170" s="1">
        <f>J692</f>
        <v>1.6</v>
      </c>
      <c r="F170" s="1"/>
      <c r="G170" s="1"/>
      <c r="H170" s="1"/>
      <c r="I170" s="1">
        <f t="shared" ref="I170:P170" ca="1" si="167">OFFSET($J$1560,I115,0)</f>
        <v>0.39</v>
      </c>
      <c r="J170" s="1">
        <f t="shared" ca="1" si="167"/>
        <v>1.43</v>
      </c>
      <c r="K170" s="1">
        <f t="shared" ca="1" si="167"/>
        <v>0.39</v>
      </c>
      <c r="L170" s="1">
        <f t="shared" ca="1" si="167"/>
        <v>1.43</v>
      </c>
      <c r="M170" s="1">
        <f t="shared" ca="1" si="167"/>
        <v>1.43</v>
      </c>
      <c r="N170" s="1">
        <f t="shared" ca="1" si="167"/>
        <v>0.39</v>
      </c>
      <c r="O170" s="1">
        <f t="shared" ca="1" si="167"/>
        <v>1.43</v>
      </c>
      <c r="P170" s="1">
        <f t="shared" ca="1" si="167"/>
        <v>1.43</v>
      </c>
      <c r="Q170" s="1">
        <f>J1027</f>
        <v>0.92</v>
      </c>
      <c r="R170" s="1">
        <f>J1128</f>
        <v>1.6</v>
      </c>
      <c r="S170" s="151">
        <v>0</v>
      </c>
      <c r="T170" s="151">
        <v>0</v>
      </c>
      <c r="U170" s="1">
        <f t="shared" ref="U170:AC170" ca="1" si="168">OFFSET($J$2823,X115,0)</f>
        <v>0</v>
      </c>
      <c r="V170" s="1">
        <f t="shared" ca="1" si="168"/>
        <v>1.0303959999999999</v>
      </c>
      <c r="W170" s="1">
        <f t="shared" ca="1" si="168"/>
        <v>0</v>
      </c>
      <c r="X170" s="1">
        <f t="shared" ca="1" si="168"/>
        <v>0</v>
      </c>
      <c r="Y170" s="1">
        <f t="shared" ca="1" si="168"/>
        <v>1.0303959999999999</v>
      </c>
      <c r="Z170" s="1">
        <f t="shared" ca="1" si="168"/>
        <v>0</v>
      </c>
      <c r="AA170" s="1">
        <f t="shared" ca="1" si="168"/>
        <v>1.0303959999999999</v>
      </c>
      <c r="AB170" s="1">
        <f t="shared" ca="1" si="168"/>
        <v>1.0303959999999999</v>
      </c>
      <c r="AC170" s="1">
        <f t="shared" ca="1" si="168"/>
        <v>0</v>
      </c>
      <c r="AT170" t="str">
        <f t="shared" si="156"/>
        <v>Geo</v>
      </c>
      <c r="AU170">
        <f t="shared" si="131"/>
        <v>0</v>
      </c>
      <c r="AV170">
        <f t="shared" si="132"/>
        <v>1.6</v>
      </c>
      <c r="AW170">
        <f t="shared" si="133"/>
        <v>0</v>
      </c>
      <c r="AX170">
        <f t="shared" si="134"/>
        <v>0</v>
      </c>
      <c r="AY170">
        <f t="shared" si="135"/>
        <v>0</v>
      </c>
      <c r="AZ170">
        <f t="shared" ca="1" si="136"/>
        <v>0.39</v>
      </c>
      <c r="BA170">
        <f t="shared" ca="1" si="137"/>
        <v>0.39</v>
      </c>
      <c r="BB170">
        <f t="shared" ca="1" si="138"/>
        <v>0.39</v>
      </c>
      <c r="BC170">
        <f t="shared" ca="1" si="139"/>
        <v>1.43</v>
      </c>
      <c r="BD170">
        <f t="shared" ca="1" si="140"/>
        <v>1.43</v>
      </c>
      <c r="BE170">
        <f t="shared" ca="1" si="141"/>
        <v>1.43</v>
      </c>
      <c r="BF170">
        <f t="shared" ca="1" si="142"/>
        <v>1.43</v>
      </c>
      <c r="BG170">
        <f t="shared" ca="1" si="143"/>
        <v>1.43</v>
      </c>
      <c r="BH170">
        <f t="shared" si="144"/>
        <v>0.92</v>
      </c>
      <c r="BI170">
        <f t="shared" si="145"/>
        <v>1.6</v>
      </c>
      <c r="BJ170">
        <f t="shared" si="146"/>
        <v>0</v>
      </c>
      <c r="BK170">
        <f t="shared" si="147"/>
        <v>0</v>
      </c>
      <c r="BL170">
        <f t="shared" ca="1" si="148"/>
        <v>0</v>
      </c>
      <c r="BM170">
        <f t="shared" ca="1" si="149"/>
        <v>0</v>
      </c>
      <c r="BN170">
        <f t="shared" ca="1" si="150"/>
        <v>1.0303959999999999</v>
      </c>
      <c r="BO170">
        <f t="shared" ca="1" si="151"/>
        <v>1.0303959999999999</v>
      </c>
      <c r="BP170">
        <f t="shared" ca="1" si="157"/>
        <v>1.0303959999999999</v>
      </c>
      <c r="BQ170">
        <f t="shared" ca="1" si="152"/>
        <v>1.0303959999999999</v>
      </c>
      <c r="BR170">
        <f t="shared" ca="1" si="153"/>
        <v>0</v>
      </c>
      <c r="BS170">
        <f t="shared" ca="1" si="154"/>
        <v>0</v>
      </c>
      <c r="BT170">
        <f t="shared" ca="1" si="158"/>
        <v>0</v>
      </c>
    </row>
    <row r="171" spans="2:75" x14ac:dyDescent="0.2">
      <c r="C171" t="s">
        <v>984</v>
      </c>
      <c r="D171" s="25">
        <f>R73</f>
        <v>1.6287</v>
      </c>
      <c r="E171" s="1">
        <f>J693</f>
        <v>5.5000000000000009</v>
      </c>
      <c r="F171" s="1"/>
      <c r="G171" s="1"/>
      <c r="H171" s="1"/>
      <c r="I171" s="1">
        <f ca="1">SUM(OFFSET($J$1559,I115,0):OFFSET($J$1565,I115,0))-I170</f>
        <v>2.4300000000000002</v>
      </c>
      <c r="J171" s="1">
        <f ca="1">SUM(OFFSET($J$1559,J115,0):OFFSET($J$1565,J115,0))-J170</f>
        <v>4.3</v>
      </c>
      <c r="K171" s="1">
        <f ca="1">SUM(OFFSET($J$1559,K115,0):OFFSET($J$1565,K115,0))-K170</f>
        <v>2.4300000000000002</v>
      </c>
      <c r="L171" s="1">
        <f ca="1">SUM(OFFSET($J$1559,L115,0):OFFSET($J$1565,L115,0))-L170</f>
        <v>4.3</v>
      </c>
      <c r="M171" s="1">
        <f ca="1">SUM(OFFSET($J$1559,M115,0):OFFSET($J$1565,M115,0))-M170</f>
        <v>4.3</v>
      </c>
      <c r="N171" s="1">
        <f ca="1">SUM(OFFSET($J$1559,N115,0):OFFSET($J$1565,N115,0))-N170</f>
        <v>2.4300000000000002</v>
      </c>
      <c r="O171" s="1">
        <f ca="1">SUM(OFFSET($J$1559,O115,0):OFFSET($J$1565,O115,0))-O170</f>
        <v>4.3</v>
      </c>
      <c r="P171" s="1">
        <f ca="1">SUM(OFFSET($J$1559,P115,0):OFFSET($J$1565,P115,0))-P170</f>
        <v>4.3</v>
      </c>
      <c r="Q171" s="1">
        <f>J1024+J1025+J1026</f>
        <v>4.9700000000000006</v>
      </c>
      <c r="R171">
        <f>J1127+J1122</f>
        <v>5.5500000000000007</v>
      </c>
      <c r="S171" s="1">
        <f>J3115</f>
        <v>0</v>
      </c>
      <c r="T171" s="1">
        <f>J3138</f>
        <v>1.0555555555555556</v>
      </c>
      <c r="U171" s="1">
        <f t="shared" ref="U171:AC171" ca="1" si="169">OFFSET($J$2826,X115,0)+OFFSET($J$2827,X115,0)</f>
        <v>2.2361111111111138</v>
      </c>
      <c r="V171" s="1">
        <f t="shared" ca="1" si="169"/>
        <v>2.2361111111111138</v>
      </c>
      <c r="W171" s="1">
        <f t="shared" ca="1" si="169"/>
        <v>2.2361111111111138</v>
      </c>
      <c r="X171" s="1">
        <f t="shared" ca="1" si="169"/>
        <v>2.2361111111111138</v>
      </c>
      <c r="Y171" s="1">
        <f t="shared" ca="1" si="169"/>
        <v>3.0571077706748335</v>
      </c>
      <c r="Z171" s="1">
        <f t="shared" ca="1" si="169"/>
        <v>1.4977159133789972</v>
      </c>
      <c r="AA171" s="1">
        <f t="shared" ca="1" si="169"/>
        <v>2.2361111111111138</v>
      </c>
      <c r="AB171" s="1">
        <f t="shared" ca="1" si="169"/>
        <v>3.2478688299783469</v>
      </c>
      <c r="AC171" s="1">
        <f t="shared" ca="1" si="169"/>
        <v>1.4977159133790001</v>
      </c>
      <c r="AT171" t="str">
        <f t="shared" si="156"/>
        <v>Biomass</v>
      </c>
      <c r="AU171">
        <f t="shared" si="131"/>
        <v>1.6287</v>
      </c>
      <c r="AV171">
        <f t="shared" si="132"/>
        <v>5.5000000000000009</v>
      </c>
      <c r="AW171">
        <f t="shared" si="133"/>
        <v>0</v>
      </c>
      <c r="AX171">
        <f t="shared" si="134"/>
        <v>0</v>
      </c>
      <c r="AY171">
        <f t="shared" si="135"/>
        <v>0</v>
      </c>
      <c r="AZ171">
        <f t="shared" ca="1" si="136"/>
        <v>2.4300000000000002</v>
      </c>
      <c r="BA171">
        <f t="shared" ca="1" si="137"/>
        <v>2.4300000000000002</v>
      </c>
      <c r="BB171">
        <f t="shared" ca="1" si="138"/>
        <v>2.4300000000000002</v>
      </c>
      <c r="BC171">
        <f t="shared" ca="1" si="139"/>
        <v>4.3</v>
      </c>
      <c r="BD171">
        <f t="shared" ca="1" si="140"/>
        <v>4.3</v>
      </c>
      <c r="BE171">
        <f t="shared" ca="1" si="141"/>
        <v>4.3</v>
      </c>
      <c r="BF171">
        <f t="shared" ca="1" si="142"/>
        <v>4.3</v>
      </c>
      <c r="BG171">
        <f t="shared" ca="1" si="143"/>
        <v>4.3</v>
      </c>
      <c r="BH171">
        <f t="shared" si="144"/>
        <v>4.9700000000000006</v>
      </c>
      <c r="BI171">
        <f t="shared" si="145"/>
        <v>5.5500000000000007</v>
      </c>
      <c r="BJ171">
        <f t="shared" si="146"/>
        <v>0</v>
      </c>
      <c r="BK171">
        <f t="shared" si="147"/>
        <v>1.0555555555555556</v>
      </c>
      <c r="BL171">
        <f t="shared" ca="1" si="148"/>
        <v>2.2361111111111138</v>
      </c>
      <c r="BM171">
        <f t="shared" ca="1" si="149"/>
        <v>2.2361111111111138</v>
      </c>
      <c r="BN171">
        <f t="shared" ca="1" si="150"/>
        <v>2.2361111111111138</v>
      </c>
      <c r="BO171">
        <f t="shared" ca="1" si="151"/>
        <v>2.2361111111111138</v>
      </c>
      <c r="BP171">
        <f t="shared" ca="1" si="157"/>
        <v>3.0571077706748335</v>
      </c>
      <c r="BQ171">
        <f t="shared" ca="1" si="152"/>
        <v>3.2478688299783469</v>
      </c>
      <c r="BR171">
        <f t="shared" ca="1" si="153"/>
        <v>2.2361111111111138</v>
      </c>
      <c r="BS171">
        <f t="shared" ca="1" si="154"/>
        <v>1.4977159133789972</v>
      </c>
      <c r="BT171">
        <f t="shared" ca="1" si="158"/>
        <v>1.4977159133790001</v>
      </c>
    </row>
    <row r="172" spans="2:75" x14ac:dyDescent="0.2">
      <c r="C172" t="s">
        <v>959</v>
      </c>
      <c r="E172" s="1">
        <f>J696+J687</f>
        <v>11.399999999999999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U172" s="1"/>
      <c r="V172" s="1"/>
      <c r="W172" s="1"/>
      <c r="X172" s="1"/>
      <c r="Y172" s="1"/>
      <c r="Z172" s="1"/>
      <c r="AA172" s="1"/>
      <c r="AB172" s="1"/>
      <c r="AC172" s="1"/>
      <c r="AT172" t="str">
        <f t="shared" si="156"/>
        <v>Gas+Net import</v>
      </c>
      <c r="AU172">
        <f t="shared" si="131"/>
        <v>0</v>
      </c>
      <c r="AV172">
        <f t="shared" si="132"/>
        <v>11.399999999999999</v>
      </c>
      <c r="AW172">
        <f t="shared" si="133"/>
        <v>0</v>
      </c>
      <c r="AX172">
        <f t="shared" si="134"/>
        <v>0</v>
      </c>
      <c r="AY172">
        <f t="shared" si="135"/>
        <v>0</v>
      </c>
      <c r="AZ172">
        <f t="shared" si="136"/>
        <v>0</v>
      </c>
      <c r="BA172">
        <f t="shared" si="137"/>
        <v>0</v>
      </c>
      <c r="BB172">
        <f t="shared" si="138"/>
        <v>0</v>
      </c>
      <c r="BC172">
        <f t="shared" si="139"/>
        <v>0</v>
      </c>
      <c r="BD172">
        <f t="shared" si="140"/>
        <v>0</v>
      </c>
      <c r="BE172">
        <f t="shared" si="141"/>
        <v>0</v>
      </c>
      <c r="BF172">
        <f t="shared" si="142"/>
        <v>0</v>
      </c>
      <c r="BG172">
        <f t="shared" si="143"/>
        <v>0</v>
      </c>
      <c r="BH172">
        <f t="shared" si="144"/>
        <v>0</v>
      </c>
      <c r="BI172">
        <f t="shared" si="145"/>
        <v>0</v>
      </c>
      <c r="BJ172">
        <f t="shared" si="146"/>
        <v>0</v>
      </c>
      <c r="BK172">
        <f t="shared" si="147"/>
        <v>0</v>
      </c>
      <c r="BL172">
        <f t="shared" si="148"/>
        <v>0</v>
      </c>
      <c r="BM172">
        <f t="shared" si="149"/>
        <v>0</v>
      </c>
      <c r="BN172">
        <f t="shared" si="150"/>
        <v>0</v>
      </c>
      <c r="BO172">
        <f t="shared" si="151"/>
        <v>0</v>
      </c>
      <c r="BP172">
        <f t="shared" si="157"/>
        <v>0</v>
      </c>
      <c r="BQ172">
        <f t="shared" si="152"/>
        <v>0</v>
      </c>
      <c r="BR172">
        <f t="shared" si="153"/>
        <v>0</v>
      </c>
      <c r="BS172">
        <f t="shared" si="154"/>
        <v>0</v>
      </c>
      <c r="BT172">
        <f t="shared" si="158"/>
        <v>0</v>
      </c>
    </row>
    <row r="173" spans="2:75" x14ac:dyDescent="0.2">
      <c r="C173" t="s">
        <v>971</v>
      </c>
      <c r="D173" s="25">
        <f>R68-R72</f>
        <v>1.3837999999999999</v>
      </c>
      <c r="E173" s="1"/>
      <c r="F173" s="1">
        <f>J877</f>
        <v>20</v>
      </c>
      <c r="G173" s="1">
        <f>J884</f>
        <v>13</v>
      </c>
      <c r="H173" s="1">
        <f>J892</f>
        <v>1</v>
      </c>
      <c r="I173" s="1">
        <f t="shared" ref="I173:P173" ca="1" si="170">OFFSET($J$1550,I115,0)</f>
        <v>29.32</v>
      </c>
      <c r="J173" s="1">
        <f t="shared" ca="1" si="170"/>
        <v>22.24</v>
      </c>
      <c r="K173" s="1">
        <f t="shared" ca="1" si="170"/>
        <v>19.22</v>
      </c>
      <c r="L173" s="1">
        <f t="shared" ca="1" si="170"/>
        <v>12.7</v>
      </c>
      <c r="M173" s="1">
        <f t="shared" ca="1" si="170"/>
        <v>3.58</v>
      </c>
      <c r="N173" s="1">
        <f t="shared" ca="1" si="170"/>
        <v>22.28</v>
      </c>
      <c r="O173" s="1">
        <f t="shared" ca="1" si="170"/>
        <v>15.2</v>
      </c>
      <c r="P173" s="1">
        <f t="shared" ca="1" si="170"/>
        <v>3.58</v>
      </c>
      <c r="Q173" s="1">
        <f>J1023</f>
        <v>4</v>
      </c>
      <c r="R173" s="1">
        <f>J1115</f>
        <v>1.95</v>
      </c>
      <c r="S173" s="1">
        <f>J3110+J3113+J3114</f>
        <v>38.417694444444436</v>
      </c>
      <c r="T173" s="1">
        <f>J3133+J3136+J3137</f>
        <v>14.486833333333333</v>
      </c>
      <c r="U173" s="1">
        <f t="shared" ref="U173:AC173" ca="1" si="171">OFFSET($J$2818,X115,0)+OFFSET($J$2819,X115,0)+OFFSET($J$2820,X115,0)+OFFSET($J$2822,X115,0)</f>
        <v>18.091963698630163</v>
      </c>
      <c r="V173" s="1">
        <f t="shared" ca="1" si="171"/>
        <v>3.6595147225768232E-2</v>
      </c>
      <c r="W173" s="1">
        <f t="shared" ca="1" si="171"/>
        <v>0</v>
      </c>
      <c r="X173" s="1">
        <f t="shared" ca="1" si="171"/>
        <v>12.726419399286277</v>
      </c>
      <c r="Y173" s="1">
        <f t="shared" ca="1" si="171"/>
        <v>3.6885258128199927E-2</v>
      </c>
      <c r="Z173" s="1">
        <f t="shared" ca="1" si="171"/>
        <v>0</v>
      </c>
      <c r="AA173" s="1">
        <f t="shared" ca="1" si="171"/>
        <v>9.1136193221043609</v>
      </c>
      <c r="AB173" s="1">
        <f t="shared" ca="1" si="171"/>
        <v>2.7624615372819111E-2</v>
      </c>
      <c r="AC173" s="1">
        <f t="shared" ca="1" si="171"/>
        <v>0</v>
      </c>
      <c r="AT173" t="str">
        <f t="shared" si="156"/>
        <v>Gas, Fossils</v>
      </c>
      <c r="AU173">
        <f t="shared" si="131"/>
        <v>1.3837999999999999</v>
      </c>
      <c r="AV173">
        <f t="shared" si="132"/>
        <v>0</v>
      </c>
      <c r="AW173">
        <f t="shared" si="133"/>
        <v>20</v>
      </c>
      <c r="AX173">
        <f t="shared" si="134"/>
        <v>13</v>
      </c>
      <c r="AY173">
        <f t="shared" si="135"/>
        <v>1</v>
      </c>
      <c r="AZ173">
        <f t="shared" ca="1" si="136"/>
        <v>29.32</v>
      </c>
      <c r="BA173">
        <f t="shared" ca="1" si="137"/>
        <v>22.28</v>
      </c>
      <c r="BB173">
        <f t="shared" ca="1" si="138"/>
        <v>19.22</v>
      </c>
      <c r="BC173">
        <f t="shared" ca="1" si="139"/>
        <v>3.58</v>
      </c>
      <c r="BD173">
        <f t="shared" ca="1" si="140"/>
        <v>3.58</v>
      </c>
      <c r="BE173">
        <f t="shared" ca="1" si="141"/>
        <v>22.24</v>
      </c>
      <c r="BF173">
        <f t="shared" ca="1" si="142"/>
        <v>15.2</v>
      </c>
      <c r="BG173">
        <f t="shared" ca="1" si="143"/>
        <v>12.7</v>
      </c>
      <c r="BH173">
        <f t="shared" si="144"/>
        <v>4</v>
      </c>
      <c r="BI173">
        <f t="shared" si="145"/>
        <v>1.95</v>
      </c>
      <c r="BJ173">
        <f t="shared" si="146"/>
        <v>38.417694444444436</v>
      </c>
      <c r="BK173">
        <f t="shared" si="147"/>
        <v>14.486833333333333</v>
      </c>
      <c r="BL173">
        <f t="shared" ca="1" si="148"/>
        <v>18.091963698630163</v>
      </c>
      <c r="BM173">
        <f t="shared" ca="1" si="149"/>
        <v>12.726419399286277</v>
      </c>
      <c r="BN173">
        <f t="shared" ca="1" si="150"/>
        <v>9.1136193221043609</v>
      </c>
      <c r="BO173">
        <f t="shared" ca="1" si="151"/>
        <v>3.6595147225768232E-2</v>
      </c>
      <c r="BP173">
        <f t="shared" ca="1" si="157"/>
        <v>3.6885258128199927E-2</v>
      </c>
      <c r="BQ173">
        <f t="shared" ca="1" si="152"/>
        <v>2.7624615372819111E-2</v>
      </c>
      <c r="BR173">
        <f t="shared" ca="1" si="153"/>
        <v>0</v>
      </c>
      <c r="BS173">
        <f t="shared" ca="1" si="154"/>
        <v>0</v>
      </c>
      <c r="BT173">
        <f t="shared" ca="1" si="158"/>
        <v>0</v>
      </c>
    </row>
    <row r="174" spans="2:75" x14ac:dyDescent="0.2">
      <c r="C174" s="14" t="s">
        <v>958</v>
      </c>
      <c r="D174" s="14">
        <f>R78-R79</f>
        <v>-5.4909999999999997</v>
      </c>
      <c r="E174" s="80"/>
      <c r="F174" s="80">
        <f>J878</f>
        <v>18</v>
      </c>
      <c r="G174" s="80">
        <f>J885</f>
        <v>19</v>
      </c>
      <c r="H174" s="80">
        <f>J893</f>
        <v>22</v>
      </c>
      <c r="I174" s="80">
        <f t="shared" ref="I174:P174" ca="1" si="172">OFFSET($J$1575,I115,0)</f>
        <v>0.35000000000000009</v>
      </c>
      <c r="J174" s="80">
        <f t="shared" ca="1" si="172"/>
        <v>0.35000000000000009</v>
      </c>
      <c r="K174" s="80">
        <f t="shared" ca="1" si="172"/>
        <v>0.35000000000000009</v>
      </c>
      <c r="L174" s="80">
        <f t="shared" ca="1" si="172"/>
        <v>-0.20999999999999996</v>
      </c>
      <c r="M174" s="80">
        <f t="shared" ca="1" si="172"/>
        <v>8.92</v>
      </c>
      <c r="N174" s="80">
        <f t="shared" ca="1" si="172"/>
        <v>0.35000000000000009</v>
      </c>
      <c r="O174" s="80">
        <f t="shared" ca="1" si="172"/>
        <v>0.35000000000000009</v>
      </c>
      <c r="P174" s="80">
        <f t="shared" ca="1" si="172"/>
        <v>11.98</v>
      </c>
      <c r="Q174" s="80">
        <f>J1018</f>
        <v>9.9</v>
      </c>
      <c r="R174" s="80">
        <f>J1130</f>
        <v>6.5</v>
      </c>
      <c r="S174" s="150">
        <v>0</v>
      </c>
      <c r="T174" s="150">
        <v>0</v>
      </c>
      <c r="U174" s="80">
        <f t="shared" ref="U174:AC174" ca="1" si="173">OFFSET($J$2834,X115,0)</f>
        <v>3.3040237212844659E-13</v>
      </c>
      <c r="V174" s="80">
        <f t="shared" ca="1" si="173"/>
        <v>15.121739943936946</v>
      </c>
      <c r="W174" s="80">
        <f t="shared" ca="1" si="173"/>
        <v>0</v>
      </c>
      <c r="X174" s="80">
        <f t="shared" ca="1" si="173"/>
        <v>5.6843418860808015E-14</v>
      </c>
      <c r="Y174" s="80">
        <f t="shared" ca="1" si="173"/>
        <v>8.8084185580350045</v>
      </c>
      <c r="Z174" s="80">
        <f t="shared" ca="1" si="173"/>
        <v>0</v>
      </c>
      <c r="AA174" s="80">
        <f t="shared" ca="1" si="173"/>
        <v>-8.5265128291212022E-14</v>
      </c>
      <c r="AB174" s="80">
        <f t="shared" ca="1" si="173"/>
        <v>7.619947829241724</v>
      </c>
      <c r="AC174" s="80">
        <f t="shared" ca="1" si="173"/>
        <v>3.5882408155885059E-13</v>
      </c>
      <c r="AT174" t="str">
        <f t="shared" si="156"/>
        <v>Net import</v>
      </c>
      <c r="AU174">
        <f t="shared" si="131"/>
        <v>-5.4909999999999997</v>
      </c>
      <c r="AV174">
        <f t="shared" si="132"/>
        <v>0</v>
      </c>
      <c r="AW174">
        <f t="shared" si="133"/>
        <v>18</v>
      </c>
      <c r="AX174">
        <f t="shared" si="134"/>
        <v>19</v>
      </c>
      <c r="AY174">
        <f t="shared" si="135"/>
        <v>22</v>
      </c>
      <c r="AZ174">
        <f t="shared" ca="1" si="136"/>
        <v>0.35000000000000009</v>
      </c>
      <c r="BA174">
        <f t="shared" ca="1" si="137"/>
        <v>0.35000000000000009</v>
      </c>
      <c r="BB174">
        <f t="shared" ca="1" si="138"/>
        <v>0.35000000000000009</v>
      </c>
      <c r="BC174">
        <f t="shared" ca="1" si="139"/>
        <v>11.98</v>
      </c>
      <c r="BD174">
        <f t="shared" ca="1" si="140"/>
        <v>8.92</v>
      </c>
      <c r="BE174">
        <f t="shared" ca="1" si="141"/>
        <v>0.35000000000000009</v>
      </c>
      <c r="BF174">
        <f t="shared" ca="1" si="142"/>
        <v>0.35000000000000009</v>
      </c>
      <c r="BG174">
        <f t="shared" ca="1" si="143"/>
        <v>-0.20999999999999996</v>
      </c>
      <c r="BH174">
        <f t="shared" si="144"/>
        <v>9.9</v>
      </c>
      <c r="BI174">
        <f t="shared" si="145"/>
        <v>6.5</v>
      </c>
      <c r="BJ174">
        <f t="shared" si="146"/>
        <v>0</v>
      </c>
      <c r="BK174">
        <f t="shared" si="147"/>
        <v>0</v>
      </c>
      <c r="BL174">
        <f t="shared" ca="1" si="148"/>
        <v>3.3040237212844659E-13</v>
      </c>
      <c r="BM174">
        <f t="shared" ca="1" si="149"/>
        <v>5.6843418860808015E-14</v>
      </c>
      <c r="BN174">
        <f t="shared" ca="1" si="150"/>
        <v>-8.5265128291212022E-14</v>
      </c>
      <c r="BO174">
        <f t="shared" ca="1" si="151"/>
        <v>15.121739943936946</v>
      </c>
      <c r="BP174">
        <f t="shared" ca="1" si="157"/>
        <v>8.8084185580350045</v>
      </c>
      <c r="BQ174">
        <f t="shared" ca="1" si="152"/>
        <v>7.619947829241724</v>
      </c>
      <c r="BR174">
        <f t="shared" ca="1" si="153"/>
        <v>0</v>
      </c>
      <c r="BS174">
        <f t="shared" ca="1" si="154"/>
        <v>0</v>
      </c>
      <c r="BT174">
        <f t="shared" ca="1" si="158"/>
        <v>3.5882408155885059E-13</v>
      </c>
    </row>
    <row r="175" spans="2:75" x14ac:dyDescent="0.2">
      <c r="C175" t="s">
        <v>957</v>
      </c>
      <c r="D175" s="4">
        <f>SUM(D163:D174)</f>
        <v>61.786999999999992</v>
      </c>
      <c r="E175" s="4">
        <f t="shared" ref="E175" si="174">SUM(E163:E174)</f>
        <v>75</v>
      </c>
      <c r="F175" s="4">
        <f t="shared" ref="F175" si="175">SUM(F163:F174)</f>
        <v>78.820000000000007</v>
      </c>
      <c r="G175" s="4">
        <f t="shared" ref="G175" si="176">SUM(G163:G174)</f>
        <v>76.02</v>
      </c>
      <c r="H175" s="4">
        <f t="shared" ref="H175" si="177">SUM(H163:H174)</f>
        <v>71.22</v>
      </c>
      <c r="I175" s="4">
        <f t="shared" ref="I175" ca="1" si="178">SUM(I163:I174)</f>
        <v>69.990000000000009</v>
      </c>
      <c r="J175" s="4">
        <f t="shared" ref="J175" ca="1" si="179">SUM(J163:J174)</f>
        <v>69.999999999999986</v>
      </c>
      <c r="K175" s="4">
        <f t="shared" ref="K175" ca="1" si="180">SUM(K163:K174)</f>
        <v>59.890000000000008</v>
      </c>
      <c r="L175" s="4">
        <f t="shared" ref="L175" ca="1" si="181">SUM(L163:L174)</f>
        <v>59.9</v>
      </c>
      <c r="M175" s="4">
        <f ca="1">SUM(M163:M174)</f>
        <v>59.91</v>
      </c>
      <c r="N175" s="4">
        <f t="shared" ref="N175" ca="1" si="182">SUM(N163:N174)</f>
        <v>62.95000000000001</v>
      </c>
      <c r="O175" s="4">
        <f t="shared" ref="O175" ca="1" si="183">SUM(O163:O174)</f>
        <v>62.96</v>
      </c>
      <c r="P175" s="4">
        <f t="shared" ref="P175" ca="1" si="184">SUM(P163:P174)</f>
        <v>62.97</v>
      </c>
      <c r="Q175" s="4">
        <f t="shared" ref="Q175" si="185">SUM(Q163:Q174)</f>
        <v>72.360000000000014</v>
      </c>
      <c r="R175" s="4">
        <f t="shared" ref="R175:AC175" si="186">SUM(R163:R174)</f>
        <v>68.606000000000009</v>
      </c>
      <c r="S175" s="4">
        <f t="shared" si="186"/>
        <v>76.913694444444445</v>
      </c>
      <c r="T175" s="4">
        <f t="shared" si="186"/>
        <v>72.20975</v>
      </c>
      <c r="U175" s="4">
        <f t="shared" ca="1" si="186"/>
        <v>66.712779376489081</v>
      </c>
      <c r="V175" s="4">
        <f t="shared" ca="1" si="186"/>
        <v>66.712779376454975</v>
      </c>
      <c r="W175" s="4">
        <f t="shared" ca="1" si="186"/>
        <v>66.712779376507697</v>
      </c>
      <c r="X175" s="4">
        <f t="shared" ca="1" si="186"/>
        <v>61.249489031906002</v>
      </c>
      <c r="Y175" s="4">
        <f t="shared" ca="1" si="186"/>
        <v>61.249489031867185</v>
      </c>
      <c r="Z175" s="4">
        <f t="shared" ca="1" si="186"/>
        <v>62.269510428704159</v>
      </c>
      <c r="AA175" s="4">
        <f t="shared" ca="1" si="186"/>
        <v>60.221035027954294</v>
      </c>
      <c r="AB175" s="4">
        <f t="shared" ca="1" si="186"/>
        <v>60.221035027935557</v>
      </c>
      <c r="AC175" s="4">
        <f t="shared" ca="1" si="186"/>
        <v>61.564997940232956</v>
      </c>
    </row>
    <row r="176" spans="2:75" x14ac:dyDescent="0.2"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2:75" x14ac:dyDescent="0.2">
      <c r="C177" s="25" t="s">
        <v>953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2:75" x14ac:dyDescent="0.2"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2:75" x14ac:dyDescent="0.2"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2:75" x14ac:dyDescent="0.2"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2:75" x14ac:dyDescent="0.2"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2:75" x14ac:dyDescent="0.2">
      <c r="B182" s="99" t="s">
        <v>949</v>
      </c>
      <c r="C182" s="14"/>
      <c r="D182" s="14"/>
      <c r="E182" s="14"/>
      <c r="F182" s="14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2:75" x14ac:dyDescent="0.2"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2:75" ht="15" x14ac:dyDescent="0.25">
      <c r="B184" s="2" t="s">
        <v>976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2:75" ht="15" x14ac:dyDescent="0.25">
      <c r="B185" s="13" t="s">
        <v>128</v>
      </c>
      <c r="D185" s="2">
        <v>2014</v>
      </c>
      <c r="E185" s="2" t="str">
        <f>E139</f>
        <v>ETH/ESC, mittel</v>
      </c>
      <c r="F185" s="2" t="str">
        <f t="shared" ref="F185:AC185" si="187">F139</f>
        <v>VSE, Szen.1</v>
      </c>
      <c r="G185" s="2" t="str">
        <f t="shared" si="187"/>
        <v>VSE, Szen.2</v>
      </c>
      <c r="H185" s="2" t="str">
        <f t="shared" si="187"/>
        <v>VSE, Szen.3</v>
      </c>
      <c r="I185" s="2" t="str">
        <f t="shared" si="187"/>
        <v xml:space="preserve">BFE, WWB+C    </v>
      </c>
      <c r="J185" s="2" t="str">
        <f t="shared" si="187"/>
        <v>BFE, WWB+C+E</v>
      </c>
      <c r="K185" s="2" t="str">
        <f t="shared" si="187"/>
        <v xml:space="preserve">BFE, NEP+C     </v>
      </c>
      <c r="L185" s="2" t="str">
        <f t="shared" si="187"/>
        <v>BFE, NEP+C+E</v>
      </c>
      <c r="M185" s="2" t="str">
        <f t="shared" si="187"/>
        <v xml:space="preserve">BFE, NEP+E     </v>
      </c>
      <c r="N185" s="2" t="str">
        <f t="shared" si="187"/>
        <v xml:space="preserve">BFE, POM+C    </v>
      </c>
      <c r="O185" s="2" t="str">
        <f t="shared" si="187"/>
        <v>BFE, POM+C+E</v>
      </c>
      <c r="P185" s="2" t="str">
        <f t="shared" si="187"/>
        <v xml:space="preserve">BFE, POM+E    </v>
      </c>
      <c r="Q185" s="2" t="str">
        <f t="shared" si="187"/>
        <v>Cleantech</v>
      </c>
      <c r="R185" s="2" t="str">
        <f t="shared" si="187"/>
        <v>Greenpeace</v>
      </c>
      <c r="S185" s="2" t="str">
        <f t="shared" si="187"/>
        <v>PSI-sys, noClimPol</v>
      </c>
      <c r="T185" s="2" t="str">
        <f t="shared" si="187"/>
        <v>PSI-sys, -50% CO2</v>
      </c>
      <c r="U185" s="2" t="str">
        <f t="shared" si="187"/>
        <v>PSI-elc, WWB+Gas</v>
      </c>
      <c r="V185" s="2" t="str">
        <f t="shared" si="187"/>
        <v>PSI-elc, WWB+Imp</v>
      </c>
      <c r="W185" s="2" t="str">
        <f t="shared" si="187"/>
        <v>PSI-elc, WWB+Nuc</v>
      </c>
      <c r="X185" s="2" t="str">
        <f t="shared" si="187"/>
        <v>PSI-elc, POM+Gas</v>
      </c>
      <c r="Y185" s="2" t="str">
        <f t="shared" si="187"/>
        <v>PSI-elc, POM+Imp</v>
      </c>
      <c r="Z185" s="2" t="str">
        <f t="shared" si="187"/>
        <v>PSI-elc, POM+Nuc</v>
      </c>
      <c r="AA185" s="2" t="str">
        <f t="shared" si="187"/>
        <v>PSI-elc, NEP+Gas</v>
      </c>
      <c r="AB185" s="2" t="str">
        <f t="shared" si="187"/>
        <v>PSI-elc, NEP+Imp</v>
      </c>
      <c r="AC185" s="2" t="str">
        <f t="shared" si="187"/>
        <v>PSI-elc, NEP+Nuc</v>
      </c>
      <c r="AU185">
        <f t="shared" ref="AU185:AU197" si="188">D185</f>
        <v>2014</v>
      </c>
      <c r="AV185" s="160" t="str">
        <f t="shared" ref="AV185:AV197" si="189">E185</f>
        <v>ETH/ESC, mittel</v>
      </c>
      <c r="AW185" s="160" t="str">
        <f t="shared" ref="AW185:AW197" si="190">F185</f>
        <v>VSE, Szen.1</v>
      </c>
      <c r="AX185" s="160" t="str">
        <f t="shared" ref="AX185:AX197" si="191">G185</f>
        <v>VSE, Szen.2</v>
      </c>
      <c r="AY185" s="160" t="str">
        <f t="shared" ref="AY185:AY197" si="192">H185</f>
        <v>VSE, Szen.3</v>
      </c>
      <c r="AZ185" s="160" t="str">
        <f t="shared" ref="AZ185:AZ197" si="193">I185</f>
        <v xml:space="preserve">BFE, WWB+C    </v>
      </c>
      <c r="BA185" s="160" t="str">
        <f t="shared" ref="BA185:BA197" si="194">N185</f>
        <v xml:space="preserve">BFE, POM+C    </v>
      </c>
      <c r="BB185" s="160" t="str">
        <f t="shared" ref="BB185:BB197" si="195">K185</f>
        <v xml:space="preserve">BFE, NEP+C     </v>
      </c>
      <c r="BC185" s="160" t="str">
        <f t="shared" ref="BC185:BC197" si="196">P185</f>
        <v xml:space="preserve">BFE, POM+E    </v>
      </c>
      <c r="BD185" s="160" t="str">
        <f t="shared" ref="BD185:BD197" si="197">M185</f>
        <v xml:space="preserve">BFE, NEP+E     </v>
      </c>
      <c r="BE185" s="160" t="str">
        <f t="shared" ref="BE185:BE197" si="198">J185</f>
        <v>BFE, WWB+C+E</v>
      </c>
      <c r="BF185" s="160" t="str">
        <f t="shared" ref="BF185:BF197" si="199">O185</f>
        <v>BFE, POM+C+E</v>
      </c>
      <c r="BG185" s="160" t="str">
        <f t="shared" ref="BG185:BG197" si="200">L185</f>
        <v>BFE, NEP+C+E</v>
      </c>
      <c r="BH185" s="160" t="str">
        <f t="shared" ref="BH185:BH197" si="201">Q185</f>
        <v>Cleantech</v>
      </c>
      <c r="BI185" s="160" t="str">
        <f t="shared" ref="BI185:BI197" si="202">R185</f>
        <v>Greenpeace</v>
      </c>
      <c r="BJ185" s="160" t="str">
        <f t="shared" ref="BJ185:BJ197" si="203">S185</f>
        <v>PSI-sys, noClimPol</v>
      </c>
      <c r="BK185" s="160" t="str">
        <f t="shared" ref="BK185:BK197" si="204">T185</f>
        <v>PSI-sys, -50% CO2</v>
      </c>
      <c r="BL185" s="160" t="str">
        <f t="shared" ref="BL185:BL197" si="205">U185</f>
        <v>PSI-elc, WWB+Gas</v>
      </c>
      <c r="BM185" s="160" t="str">
        <f t="shared" ref="BM185:BM197" si="206">X185</f>
        <v>PSI-elc, POM+Gas</v>
      </c>
      <c r="BN185" s="160" t="str">
        <f t="shared" ref="BN185:BN197" si="207">AA185</f>
        <v>PSI-elc, NEP+Gas</v>
      </c>
      <c r="BO185" s="160" t="str">
        <f t="shared" ref="BO185:BO197" si="208">V185</f>
        <v>PSI-elc, WWB+Imp</v>
      </c>
      <c r="BP185" s="160" t="str">
        <f>Y185</f>
        <v>PSI-elc, POM+Imp</v>
      </c>
      <c r="BQ185" s="160" t="str">
        <f t="shared" ref="BQ185:BQ197" si="209">AB185</f>
        <v>PSI-elc, NEP+Imp</v>
      </c>
      <c r="BR185" s="160" t="str">
        <f t="shared" ref="BR185:BR197" si="210">W185</f>
        <v>PSI-elc, WWB+Nuc</v>
      </c>
      <c r="BS185" s="160" t="str">
        <f t="shared" ref="BS185:BS197" si="211">Z185</f>
        <v>PSI-elc, POM+Nuc</v>
      </c>
      <c r="BT185" s="160" t="str">
        <f>AC185</f>
        <v>PSI-elc, NEP+Nuc</v>
      </c>
      <c r="BU185" s="160"/>
      <c r="BV185" s="160"/>
      <c r="BW185" s="160"/>
    </row>
    <row r="186" spans="2:75" x14ac:dyDescent="0.2">
      <c r="C186" t="s">
        <v>934</v>
      </c>
      <c r="E186" s="1">
        <f>I689</f>
        <v>38.166666666666664</v>
      </c>
      <c r="F186" s="1"/>
      <c r="G186" s="1"/>
      <c r="H186" s="1"/>
      <c r="I186" s="1">
        <f t="shared" ref="I186:P186" ca="1" si="212">OFFSET($I$1546,I115,0)+OFFSET($I$1567,I115,0)</f>
        <v>34.230000000000004</v>
      </c>
      <c r="J186" s="1">
        <f t="shared" ca="1" si="212"/>
        <v>35.130000000000003</v>
      </c>
      <c r="K186" s="1">
        <f t="shared" ca="1" si="212"/>
        <v>34.230000000000004</v>
      </c>
      <c r="L186" s="1">
        <f t="shared" ca="1" si="212"/>
        <v>35.130000000000003</v>
      </c>
      <c r="M186" s="1">
        <f t="shared" ca="1" si="212"/>
        <v>35.130000000000003</v>
      </c>
      <c r="N186" s="1">
        <f t="shared" ca="1" si="212"/>
        <v>34.230000000000004</v>
      </c>
      <c r="O186" s="1">
        <f t="shared" ca="1" si="212"/>
        <v>35.130000000000003</v>
      </c>
      <c r="P186" s="1">
        <f t="shared" ca="1" si="212"/>
        <v>35.130000000000003</v>
      </c>
      <c r="Q186" s="1">
        <f>I1019+I1020</f>
        <v>34.46</v>
      </c>
      <c r="R186" s="1">
        <f>I1124-N65</f>
        <v>34.506</v>
      </c>
      <c r="S186" s="1">
        <f>I3111</f>
        <v>35.507166666666663</v>
      </c>
      <c r="T186" s="1">
        <f>I3134</f>
        <v>36.532777777777774</v>
      </c>
      <c r="AT186" t="str">
        <f t="shared" ref="AT186:AT197" si="213">C186</f>
        <v>Hydro</v>
      </c>
      <c r="AU186">
        <f t="shared" si="188"/>
        <v>0</v>
      </c>
      <c r="AV186">
        <f t="shared" si="189"/>
        <v>38.166666666666664</v>
      </c>
      <c r="AW186">
        <f t="shared" si="190"/>
        <v>0</v>
      </c>
      <c r="AX186">
        <f t="shared" si="191"/>
        <v>0</v>
      </c>
      <c r="AY186">
        <f t="shared" si="192"/>
        <v>0</v>
      </c>
      <c r="AZ186">
        <f t="shared" ca="1" si="193"/>
        <v>34.230000000000004</v>
      </c>
      <c r="BA186">
        <f t="shared" ca="1" si="194"/>
        <v>34.230000000000004</v>
      </c>
      <c r="BB186">
        <f t="shared" ca="1" si="195"/>
        <v>34.230000000000004</v>
      </c>
      <c r="BC186">
        <f t="shared" ca="1" si="196"/>
        <v>35.130000000000003</v>
      </c>
      <c r="BD186">
        <f t="shared" ca="1" si="197"/>
        <v>35.130000000000003</v>
      </c>
      <c r="BE186">
        <f t="shared" ca="1" si="198"/>
        <v>35.130000000000003</v>
      </c>
      <c r="BF186">
        <f t="shared" ca="1" si="199"/>
        <v>35.130000000000003</v>
      </c>
      <c r="BG186">
        <f t="shared" ca="1" si="200"/>
        <v>35.130000000000003</v>
      </c>
      <c r="BH186">
        <f t="shared" si="201"/>
        <v>34.46</v>
      </c>
      <c r="BI186">
        <f t="shared" si="202"/>
        <v>34.506</v>
      </c>
      <c r="BJ186">
        <f t="shared" si="203"/>
        <v>35.507166666666663</v>
      </c>
      <c r="BK186">
        <f t="shared" si="204"/>
        <v>36.532777777777774</v>
      </c>
      <c r="BL186">
        <f t="shared" si="205"/>
        <v>0</v>
      </c>
      <c r="BM186">
        <f t="shared" si="206"/>
        <v>0</v>
      </c>
      <c r="BN186">
        <f t="shared" si="207"/>
        <v>0</v>
      </c>
      <c r="BO186">
        <f t="shared" si="208"/>
        <v>0</v>
      </c>
      <c r="BP186">
        <f t="shared" ref="BP186:BP197" si="214">Y186</f>
        <v>0</v>
      </c>
      <c r="BQ186">
        <f t="shared" si="209"/>
        <v>0</v>
      </c>
      <c r="BR186">
        <f t="shared" si="210"/>
        <v>0</v>
      </c>
      <c r="BS186">
        <f t="shared" si="211"/>
        <v>0</v>
      </c>
      <c r="BT186">
        <f t="shared" ref="BT186:BT197" si="215">AC186</f>
        <v>0</v>
      </c>
    </row>
    <row r="187" spans="2:75" x14ac:dyDescent="0.2">
      <c r="C187" t="s">
        <v>961</v>
      </c>
      <c r="D187" s="25">
        <f>R63</f>
        <v>17.242999999999999</v>
      </c>
      <c r="E187" s="1"/>
      <c r="F187" s="1">
        <f>I873</f>
        <v>16</v>
      </c>
      <c r="G187" s="1">
        <f>I880</f>
        <v>17</v>
      </c>
      <c r="H187" s="1">
        <f>I888</f>
        <v>18</v>
      </c>
      <c r="I187" s="1"/>
      <c r="J187" s="1"/>
      <c r="K187" s="1"/>
      <c r="L187" s="1"/>
      <c r="M187" s="1"/>
      <c r="N187" s="1"/>
      <c r="O187" s="1"/>
      <c r="P187" s="1"/>
      <c r="Q187" s="1"/>
      <c r="S187" s="1"/>
      <c r="T187" s="1"/>
      <c r="U187" s="1">
        <f t="shared" ref="U187:AC187" ca="1" si="216">OFFSET($I$2828,X115,0)</f>
        <v>18.407237500000001</v>
      </c>
      <c r="V187" s="1">
        <f t="shared" ca="1" si="216"/>
        <v>18.407237500000001</v>
      </c>
      <c r="W187" s="1">
        <f t="shared" ca="1" si="216"/>
        <v>18.407237500000001</v>
      </c>
      <c r="X187" s="1">
        <f t="shared" ca="1" si="216"/>
        <v>18.407237500000001</v>
      </c>
      <c r="Y187" s="1">
        <f t="shared" ca="1" si="216"/>
        <v>18.407237500000001</v>
      </c>
      <c r="Z187" s="1">
        <f t="shared" ca="1" si="216"/>
        <v>18.407237500000001</v>
      </c>
      <c r="AA187" s="1">
        <f t="shared" ca="1" si="216"/>
        <v>18.407237500000001</v>
      </c>
      <c r="AB187" s="1">
        <f t="shared" ca="1" si="216"/>
        <v>18.407237500000001</v>
      </c>
      <c r="AC187" s="1">
        <f t="shared" ca="1" si="216"/>
        <v>18.407237500000001</v>
      </c>
      <c r="AT187" t="str">
        <f t="shared" si="213"/>
        <v>Hydro river</v>
      </c>
      <c r="AU187">
        <f t="shared" si="188"/>
        <v>17.242999999999999</v>
      </c>
      <c r="AV187">
        <f t="shared" si="189"/>
        <v>0</v>
      </c>
      <c r="AW187">
        <f t="shared" si="190"/>
        <v>16</v>
      </c>
      <c r="AX187">
        <f t="shared" si="191"/>
        <v>17</v>
      </c>
      <c r="AY187">
        <f t="shared" si="192"/>
        <v>18</v>
      </c>
      <c r="AZ187">
        <f t="shared" si="193"/>
        <v>0</v>
      </c>
      <c r="BA187">
        <f t="shared" si="194"/>
        <v>0</v>
      </c>
      <c r="BB187">
        <f t="shared" si="195"/>
        <v>0</v>
      </c>
      <c r="BC187">
        <f t="shared" si="196"/>
        <v>0</v>
      </c>
      <c r="BD187">
        <f t="shared" si="197"/>
        <v>0</v>
      </c>
      <c r="BE187">
        <f t="shared" si="198"/>
        <v>0</v>
      </c>
      <c r="BF187">
        <f t="shared" si="199"/>
        <v>0</v>
      </c>
      <c r="BG187">
        <f t="shared" si="200"/>
        <v>0</v>
      </c>
      <c r="BH187">
        <f t="shared" si="201"/>
        <v>0</v>
      </c>
      <c r="BI187">
        <f t="shared" si="202"/>
        <v>0</v>
      </c>
      <c r="BJ187">
        <f t="shared" si="203"/>
        <v>0</v>
      </c>
      <c r="BK187">
        <f t="shared" si="204"/>
        <v>0</v>
      </c>
      <c r="BL187">
        <f t="shared" ca="1" si="205"/>
        <v>18.407237500000001</v>
      </c>
      <c r="BM187">
        <f t="shared" ca="1" si="206"/>
        <v>18.407237500000001</v>
      </c>
      <c r="BN187">
        <f t="shared" ca="1" si="207"/>
        <v>18.407237500000001</v>
      </c>
      <c r="BO187">
        <f t="shared" ca="1" si="208"/>
        <v>18.407237500000001</v>
      </c>
      <c r="BP187">
        <f t="shared" ca="1" si="214"/>
        <v>18.407237500000001</v>
      </c>
      <c r="BQ187">
        <f t="shared" ca="1" si="209"/>
        <v>18.407237500000001</v>
      </c>
      <c r="BR187">
        <f t="shared" ca="1" si="210"/>
        <v>18.407237500000001</v>
      </c>
      <c r="BS187">
        <f t="shared" ca="1" si="211"/>
        <v>18.407237500000001</v>
      </c>
      <c r="BT187">
        <f t="shared" ca="1" si="215"/>
        <v>18.407237500000001</v>
      </c>
    </row>
    <row r="188" spans="2:75" x14ac:dyDescent="0.2">
      <c r="C188" t="s">
        <v>936</v>
      </c>
      <c r="D188">
        <f>R66</f>
        <v>19.71</v>
      </c>
      <c r="E188" s="1"/>
      <c r="F188" s="1">
        <f>I872</f>
        <v>19</v>
      </c>
      <c r="G188" s="1">
        <f>I879</f>
        <v>19</v>
      </c>
      <c r="H188" s="1">
        <f>I887</f>
        <v>19.2</v>
      </c>
      <c r="I188" s="1"/>
      <c r="J188" s="1"/>
      <c r="K188" s="1"/>
      <c r="L188" s="1"/>
      <c r="M188" s="1"/>
      <c r="N188" s="1"/>
      <c r="O188" s="1"/>
      <c r="P188" s="1"/>
      <c r="Q188" s="1"/>
      <c r="S188" s="1"/>
      <c r="T188" s="1"/>
      <c r="U188" s="1">
        <f t="shared" ref="U188:AC188" ca="1" si="217">OFFSET($I$2829,X115,0)+OFFSET($I$2830,X115,0)+OFFSET($I$2831,X115,0)</f>
        <v>18.568188010071172</v>
      </c>
      <c r="V188" s="1">
        <f t="shared" ca="1" si="217"/>
        <v>19.280437920286168</v>
      </c>
      <c r="W188" s="1">
        <f t="shared" ca="1" si="217"/>
        <v>18.650199659300096</v>
      </c>
      <c r="X188" s="1">
        <f t="shared" ca="1" si="217"/>
        <v>18.443270306278691</v>
      </c>
      <c r="Y188" s="1">
        <f t="shared" ca="1" si="217"/>
        <v>19.135150188185229</v>
      </c>
      <c r="Z188" s="1">
        <f t="shared" ca="1" si="217"/>
        <v>18.120500562684711</v>
      </c>
      <c r="AA188" s="1">
        <f t="shared" ca="1" si="217"/>
        <v>18.773943544626761</v>
      </c>
      <c r="AB188" s="1">
        <f t="shared" ca="1" si="217"/>
        <v>19.121028393515143</v>
      </c>
      <c r="AC188" s="1">
        <f t="shared" ca="1" si="217"/>
        <v>18.397884693750534</v>
      </c>
      <c r="AT188" t="str">
        <f t="shared" si="213"/>
        <v>Hydro storage</v>
      </c>
      <c r="AU188">
        <f t="shared" si="188"/>
        <v>19.71</v>
      </c>
      <c r="AV188">
        <f t="shared" si="189"/>
        <v>0</v>
      </c>
      <c r="AW188">
        <f t="shared" si="190"/>
        <v>19</v>
      </c>
      <c r="AX188">
        <f t="shared" si="191"/>
        <v>19</v>
      </c>
      <c r="AY188">
        <f t="shared" si="192"/>
        <v>19.2</v>
      </c>
      <c r="AZ188">
        <f t="shared" si="193"/>
        <v>0</v>
      </c>
      <c r="BA188">
        <f t="shared" si="194"/>
        <v>0</v>
      </c>
      <c r="BB188">
        <f t="shared" si="195"/>
        <v>0</v>
      </c>
      <c r="BC188">
        <f t="shared" si="196"/>
        <v>0</v>
      </c>
      <c r="BD188">
        <f t="shared" si="197"/>
        <v>0</v>
      </c>
      <c r="BE188">
        <f t="shared" si="198"/>
        <v>0</v>
      </c>
      <c r="BF188">
        <f t="shared" si="199"/>
        <v>0</v>
      </c>
      <c r="BG188">
        <f t="shared" si="200"/>
        <v>0</v>
      </c>
      <c r="BH188">
        <f t="shared" si="201"/>
        <v>0</v>
      </c>
      <c r="BI188">
        <f t="shared" si="202"/>
        <v>0</v>
      </c>
      <c r="BJ188">
        <f t="shared" si="203"/>
        <v>0</v>
      </c>
      <c r="BK188">
        <f t="shared" si="204"/>
        <v>0</v>
      </c>
      <c r="BL188">
        <f t="shared" ca="1" si="205"/>
        <v>18.568188010071172</v>
      </c>
      <c r="BM188">
        <f t="shared" ca="1" si="206"/>
        <v>18.443270306278691</v>
      </c>
      <c r="BN188">
        <f t="shared" ca="1" si="207"/>
        <v>18.773943544626761</v>
      </c>
      <c r="BO188">
        <f t="shared" ca="1" si="208"/>
        <v>19.280437920286168</v>
      </c>
      <c r="BP188">
        <f t="shared" ca="1" si="214"/>
        <v>19.135150188185229</v>
      </c>
      <c r="BQ188">
        <f t="shared" ca="1" si="209"/>
        <v>19.121028393515143</v>
      </c>
      <c r="BR188">
        <f t="shared" ca="1" si="210"/>
        <v>18.650199659300096</v>
      </c>
      <c r="BS188">
        <f t="shared" ca="1" si="211"/>
        <v>18.120500562684711</v>
      </c>
      <c r="BT188">
        <f t="shared" ca="1" si="215"/>
        <v>18.397884693750534</v>
      </c>
    </row>
    <row r="189" spans="2:75" x14ac:dyDescent="0.2">
      <c r="C189" t="s">
        <v>935</v>
      </c>
      <c r="D189">
        <f>R62</f>
        <v>26.37</v>
      </c>
      <c r="E189" s="1">
        <f>I686</f>
        <v>13</v>
      </c>
      <c r="F189" s="1">
        <f>I871</f>
        <v>9</v>
      </c>
      <c r="G189" s="1">
        <f>I871</f>
        <v>9</v>
      </c>
      <c r="H189" s="1">
        <f>I871</f>
        <v>9</v>
      </c>
      <c r="I189" s="1">
        <f t="shared" ref="I189:P189" ca="1" si="218">OFFSET($I$1549,I115,0)</f>
        <v>8.81</v>
      </c>
      <c r="J189" s="1">
        <f t="shared" ca="1" si="218"/>
        <v>8.81</v>
      </c>
      <c r="K189" s="1">
        <f t="shared" ca="1" si="218"/>
        <v>8.81</v>
      </c>
      <c r="L189" s="1">
        <f t="shared" ca="1" si="218"/>
        <v>8.81</v>
      </c>
      <c r="M189" s="1">
        <f t="shared" ca="1" si="218"/>
        <v>8.81</v>
      </c>
      <c r="N189" s="1">
        <f t="shared" ca="1" si="218"/>
        <v>8.81</v>
      </c>
      <c r="O189" s="1">
        <f t="shared" ca="1" si="218"/>
        <v>8.81</v>
      </c>
      <c r="P189" s="1">
        <f t="shared" ca="1" si="218"/>
        <v>8.81</v>
      </c>
      <c r="Q189" s="1">
        <f>I1017</f>
        <v>8.6</v>
      </c>
      <c r="R189" s="1">
        <f>I1121</f>
        <v>0</v>
      </c>
      <c r="S189" s="1">
        <f>I3112</f>
        <v>11.780666666666665</v>
      </c>
      <c r="T189" s="1">
        <f>I3135</f>
        <v>11.780666666666665</v>
      </c>
      <c r="U189" s="1">
        <f t="shared" ref="U189:AC189" ca="1" si="219">OFFSET($I$2821,X115,0)</f>
        <v>10.654208333333333</v>
      </c>
      <c r="V189" s="1">
        <f t="shared" ca="1" si="219"/>
        <v>10.654208333333333</v>
      </c>
      <c r="W189" s="1">
        <f t="shared" ca="1" si="219"/>
        <v>21.166208333333348</v>
      </c>
      <c r="X189" s="1">
        <f t="shared" ca="1" si="219"/>
        <v>10.654208333333333</v>
      </c>
      <c r="Y189" s="1">
        <f t="shared" ca="1" si="219"/>
        <v>10.654208333333333</v>
      </c>
      <c r="Z189" s="1">
        <f t="shared" ca="1" si="219"/>
        <v>20.841300000000011</v>
      </c>
      <c r="AA189" s="1">
        <f t="shared" ca="1" si="219"/>
        <v>10.654208333333333</v>
      </c>
      <c r="AB189" s="1">
        <f t="shared" ca="1" si="219"/>
        <v>10.654208333333333</v>
      </c>
      <c r="AC189" s="1">
        <f t="shared" ca="1" si="219"/>
        <v>20.489065791753191</v>
      </c>
      <c r="AT189" t="str">
        <f t="shared" si="213"/>
        <v>Nuclear</v>
      </c>
      <c r="AU189">
        <f t="shared" si="188"/>
        <v>26.37</v>
      </c>
      <c r="AV189">
        <f t="shared" si="189"/>
        <v>13</v>
      </c>
      <c r="AW189">
        <f t="shared" si="190"/>
        <v>9</v>
      </c>
      <c r="AX189">
        <f t="shared" si="191"/>
        <v>9</v>
      </c>
      <c r="AY189">
        <f t="shared" si="192"/>
        <v>9</v>
      </c>
      <c r="AZ189">
        <f t="shared" ca="1" si="193"/>
        <v>8.81</v>
      </c>
      <c r="BA189">
        <f t="shared" ca="1" si="194"/>
        <v>8.81</v>
      </c>
      <c r="BB189">
        <f t="shared" ca="1" si="195"/>
        <v>8.81</v>
      </c>
      <c r="BC189">
        <f t="shared" ca="1" si="196"/>
        <v>8.81</v>
      </c>
      <c r="BD189">
        <f t="shared" ca="1" si="197"/>
        <v>8.81</v>
      </c>
      <c r="BE189">
        <f t="shared" ca="1" si="198"/>
        <v>8.81</v>
      </c>
      <c r="BF189">
        <f t="shared" ca="1" si="199"/>
        <v>8.81</v>
      </c>
      <c r="BG189">
        <f t="shared" ca="1" si="200"/>
        <v>8.81</v>
      </c>
      <c r="BH189">
        <f t="shared" si="201"/>
        <v>8.6</v>
      </c>
      <c r="BI189">
        <f t="shared" si="202"/>
        <v>0</v>
      </c>
      <c r="BJ189">
        <f t="shared" si="203"/>
        <v>11.780666666666665</v>
      </c>
      <c r="BK189">
        <f t="shared" si="204"/>
        <v>11.780666666666665</v>
      </c>
      <c r="BL189">
        <f t="shared" ca="1" si="205"/>
        <v>10.654208333333333</v>
      </c>
      <c r="BM189">
        <f t="shared" ca="1" si="206"/>
        <v>10.654208333333333</v>
      </c>
      <c r="BN189">
        <f t="shared" ca="1" si="207"/>
        <v>10.654208333333333</v>
      </c>
      <c r="BO189">
        <f t="shared" ca="1" si="208"/>
        <v>10.654208333333333</v>
      </c>
      <c r="BP189">
        <f t="shared" ca="1" si="214"/>
        <v>10.654208333333333</v>
      </c>
      <c r="BQ189">
        <f t="shared" ca="1" si="209"/>
        <v>10.654208333333333</v>
      </c>
      <c r="BR189">
        <f t="shared" ca="1" si="210"/>
        <v>21.166208333333348</v>
      </c>
      <c r="BS189">
        <f t="shared" ca="1" si="211"/>
        <v>20.841300000000011</v>
      </c>
      <c r="BT189">
        <f t="shared" ca="1" si="215"/>
        <v>20.489065791753191</v>
      </c>
    </row>
    <row r="190" spans="2:75" x14ac:dyDescent="0.2">
      <c r="C190" t="s">
        <v>7</v>
      </c>
      <c r="D190" s="25">
        <f>R74</f>
        <v>0.84160000000000001</v>
      </c>
      <c r="E190" s="1">
        <f>I690</f>
        <v>4.4666666666666668</v>
      </c>
      <c r="F190" s="1">
        <f>I876</f>
        <v>0.72000000000000008</v>
      </c>
      <c r="G190" s="1">
        <f>I883</f>
        <v>1.2</v>
      </c>
      <c r="H190" s="1">
        <f>I891</f>
        <v>1.6800000000000002</v>
      </c>
      <c r="I190" s="1">
        <f t="shared" ref="I190:P190" ca="1" si="220">OFFSET($I$1557,I115,0)</f>
        <v>0.96</v>
      </c>
      <c r="J190" s="1">
        <f t="shared" ca="1" si="220"/>
        <v>1.91</v>
      </c>
      <c r="K190" s="1">
        <f t="shared" ca="1" si="220"/>
        <v>0.96</v>
      </c>
      <c r="L190" s="1">
        <f t="shared" ca="1" si="220"/>
        <v>1.91</v>
      </c>
      <c r="M190" s="1">
        <f t="shared" ca="1" si="220"/>
        <v>1.91</v>
      </c>
      <c r="N190" s="1">
        <f t="shared" ca="1" si="220"/>
        <v>0.96</v>
      </c>
      <c r="O190" s="1">
        <f t="shared" ca="1" si="220"/>
        <v>1.91</v>
      </c>
      <c r="P190" s="1">
        <f t="shared" ca="1" si="220"/>
        <v>1.91</v>
      </c>
      <c r="Q190" s="1">
        <f>I1021</f>
        <v>9.76</v>
      </c>
      <c r="R190" s="1">
        <f>I1126</f>
        <v>15</v>
      </c>
      <c r="S190" s="1">
        <f>I3117</f>
        <v>4.1555555555555561E-2</v>
      </c>
      <c r="T190" s="1">
        <f>I3140</f>
        <v>1.6070833333333332</v>
      </c>
      <c r="U190" s="1">
        <f t="shared" ref="U190:AC190" ca="1" si="221">OFFSET($I$2824,X115,0)</f>
        <v>2.6749389699563091</v>
      </c>
      <c r="V190" s="1">
        <f t="shared" ca="1" si="221"/>
        <v>2.6749389699563091</v>
      </c>
      <c r="W190" s="1">
        <f t="shared" ca="1" si="221"/>
        <v>1.4233454912040451</v>
      </c>
      <c r="X190" s="1">
        <f t="shared" ca="1" si="221"/>
        <v>2.6749389699563091</v>
      </c>
      <c r="Y190" s="1">
        <f t="shared" ca="1" si="221"/>
        <v>2.6749389699563091</v>
      </c>
      <c r="Z190" s="1">
        <f t="shared" ca="1" si="221"/>
        <v>9.4461681896072201E-3</v>
      </c>
      <c r="AA190" s="1">
        <f t="shared" ca="1" si="221"/>
        <v>2.6749389699563091</v>
      </c>
      <c r="AB190" s="1">
        <f t="shared" ca="1" si="221"/>
        <v>2.6749389699563091</v>
      </c>
      <c r="AC190" s="1">
        <f t="shared" ca="1" si="221"/>
        <v>9.4296333867621082E-3</v>
      </c>
      <c r="AT190" t="str">
        <f t="shared" si="213"/>
        <v>PV</v>
      </c>
      <c r="AU190">
        <f t="shared" si="188"/>
        <v>0.84160000000000001</v>
      </c>
      <c r="AV190">
        <f t="shared" si="189"/>
        <v>4.4666666666666668</v>
      </c>
      <c r="AW190">
        <f t="shared" si="190"/>
        <v>0.72000000000000008</v>
      </c>
      <c r="AX190">
        <f t="shared" si="191"/>
        <v>1.2</v>
      </c>
      <c r="AY190">
        <f t="shared" si="192"/>
        <v>1.6800000000000002</v>
      </c>
      <c r="AZ190">
        <f t="shared" ca="1" si="193"/>
        <v>0.96</v>
      </c>
      <c r="BA190">
        <f t="shared" ca="1" si="194"/>
        <v>0.96</v>
      </c>
      <c r="BB190">
        <f t="shared" ca="1" si="195"/>
        <v>0.96</v>
      </c>
      <c r="BC190">
        <f t="shared" ca="1" si="196"/>
        <v>1.91</v>
      </c>
      <c r="BD190">
        <f t="shared" ca="1" si="197"/>
        <v>1.91</v>
      </c>
      <c r="BE190">
        <f t="shared" ca="1" si="198"/>
        <v>1.91</v>
      </c>
      <c r="BF190">
        <f t="shared" ca="1" si="199"/>
        <v>1.91</v>
      </c>
      <c r="BG190">
        <f t="shared" ca="1" si="200"/>
        <v>1.91</v>
      </c>
      <c r="BH190">
        <f t="shared" si="201"/>
        <v>9.76</v>
      </c>
      <c r="BI190">
        <f t="shared" si="202"/>
        <v>15</v>
      </c>
      <c r="BJ190">
        <f t="shared" si="203"/>
        <v>4.1555555555555561E-2</v>
      </c>
      <c r="BK190">
        <f t="shared" si="204"/>
        <v>1.6070833333333332</v>
      </c>
      <c r="BL190">
        <f t="shared" ca="1" si="205"/>
        <v>2.6749389699563091</v>
      </c>
      <c r="BM190">
        <f t="shared" ca="1" si="206"/>
        <v>2.6749389699563091</v>
      </c>
      <c r="BN190">
        <f t="shared" ca="1" si="207"/>
        <v>2.6749389699563091</v>
      </c>
      <c r="BO190">
        <f t="shared" ca="1" si="208"/>
        <v>2.6749389699563091</v>
      </c>
      <c r="BP190">
        <f t="shared" ca="1" si="214"/>
        <v>2.6749389699563091</v>
      </c>
      <c r="BQ190">
        <f t="shared" ca="1" si="209"/>
        <v>2.6749389699563091</v>
      </c>
      <c r="BR190">
        <f t="shared" ca="1" si="210"/>
        <v>1.4233454912040451</v>
      </c>
      <c r="BS190">
        <f t="shared" ca="1" si="211"/>
        <v>9.4461681896072201E-3</v>
      </c>
      <c r="BT190">
        <f t="shared" ca="1" si="215"/>
        <v>9.4296333867621082E-3</v>
      </c>
    </row>
    <row r="191" spans="2:75" x14ac:dyDescent="0.2">
      <c r="C191" t="s">
        <v>8</v>
      </c>
      <c r="D191" s="25">
        <f>R75</f>
        <v>0.1009</v>
      </c>
      <c r="E191" s="1">
        <f>I691</f>
        <v>1.8666666666666663</v>
      </c>
      <c r="F191" s="1">
        <f>I875</f>
        <v>0.6</v>
      </c>
      <c r="G191" s="1">
        <f>I882</f>
        <v>0.92000000000000015</v>
      </c>
      <c r="H191" s="1">
        <f>I890</f>
        <v>1.2400000000000002</v>
      </c>
      <c r="I191" s="1">
        <f t="shared" ref="I191:P191" ca="1" si="222">OFFSET($I$1558,I115,0)</f>
        <v>0.56999999999999995</v>
      </c>
      <c r="J191" s="1">
        <f t="shared" ca="1" si="222"/>
        <v>1.46</v>
      </c>
      <c r="K191" s="1">
        <f t="shared" ca="1" si="222"/>
        <v>0.56999999999999995</v>
      </c>
      <c r="L191" s="1">
        <f t="shared" ca="1" si="222"/>
        <v>1.46</v>
      </c>
      <c r="M191" s="1">
        <f t="shared" ca="1" si="222"/>
        <v>1.46</v>
      </c>
      <c r="N191" s="1">
        <f t="shared" ca="1" si="222"/>
        <v>0.56999999999999995</v>
      </c>
      <c r="O191" s="1">
        <f t="shared" ca="1" si="222"/>
        <v>1.46</v>
      </c>
      <c r="P191" s="1">
        <f t="shared" ca="1" si="222"/>
        <v>1.46</v>
      </c>
      <c r="Q191" s="1">
        <f>I1022</f>
        <v>3.02</v>
      </c>
      <c r="R191" s="1">
        <f>I1125</f>
        <v>2.6</v>
      </c>
      <c r="S191" s="1">
        <f>I3116</f>
        <v>0</v>
      </c>
      <c r="T191" s="1">
        <f>I3139</f>
        <v>4.0998888888888887</v>
      </c>
      <c r="U191" s="1">
        <f t="shared" ref="U191:AC191" ca="1" si="223">OFFSET($I$2825,X115,0)</f>
        <v>2.9947796028194761E-3</v>
      </c>
      <c r="V191" s="1">
        <f t="shared" ca="1" si="223"/>
        <v>0.91515582723438205</v>
      </c>
      <c r="W191" s="1">
        <f t="shared" ca="1" si="223"/>
        <v>2.9947796028194761E-3</v>
      </c>
      <c r="X191" s="1">
        <f t="shared" ca="1" si="223"/>
        <v>2.9947796028194761E-3</v>
      </c>
      <c r="Y191" s="1">
        <f t="shared" ca="1" si="223"/>
        <v>0.57927808246720414</v>
      </c>
      <c r="Z191" s="1">
        <f t="shared" ca="1" si="223"/>
        <v>2.9683084185921126E-3</v>
      </c>
      <c r="AA191" s="1">
        <f t="shared" ca="1" si="223"/>
        <v>0.57927808246720414</v>
      </c>
      <c r="AB191" s="1">
        <f t="shared" ca="1" si="223"/>
        <v>0.57927808246720414</v>
      </c>
      <c r="AC191" s="1">
        <f t="shared" ca="1" si="223"/>
        <v>2.9628072324903942E-3</v>
      </c>
      <c r="AT191" t="str">
        <f t="shared" si="213"/>
        <v>Wind</v>
      </c>
      <c r="AU191">
        <f t="shared" si="188"/>
        <v>0.1009</v>
      </c>
      <c r="AV191">
        <f t="shared" si="189"/>
        <v>1.8666666666666663</v>
      </c>
      <c r="AW191">
        <f t="shared" si="190"/>
        <v>0.6</v>
      </c>
      <c r="AX191">
        <f t="shared" si="191"/>
        <v>0.92000000000000015</v>
      </c>
      <c r="AY191">
        <f t="shared" si="192"/>
        <v>1.2400000000000002</v>
      </c>
      <c r="AZ191">
        <f t="shared" ca="1" si="193"/>
        <v>0.56999999999999995</v>
      </c>
      <c r="BA191">
        <f t="shared" ca="1" si="194"/>
        <v>0.56999999999999995</v>
      </c>
      <c r="BB191">
        <f t="shared" ca="1" si="195"/>
        <v>0.56999999999999995</v>
      </c>
      <c r="BC191">
        <f t="shared" ca="1" si="196"/>
        <v>1.46</v>
      </c>
      <c r="BD191">
        <f t="shared" ca="1" si="197"/>
        <v>1.46</v>
      </c>
      <c r="BE191">
        <f t="shared" ca="1" si="198"/>
        <v>1.46</v>
      </c>
      <c r="BF191">
        <f t="shared" ca="1" si="199"/>
        <v>1.46</v>
      </c>
      <c r="BG191">
        <f t="shared" ca="1" si="200"/>
        <v>1.46</v>
      </c>
      <c r="BH191">
        <f t="shared" si="201"/>
        <v>3.02</v>
      </c>
      <c r="BI191">
        <f t="shared" si="202"/>
        <v>2.6</v>
      </c>
      <c r="BJ191">
        <f t="shared" si="203"/>
        <v>0</v>
      </c>
      <c r="BK191">
        <f t="shared" si="204"/>
        <v>4.0998888888888887</v>
      </c>
      <c r="BL191">
        <f t="shared" ca="1" si="205"/>
        <v>2.9947796028194761E-3</v>
      </c>
      <c r="BM191">
        <f t="shared" ca="1" si="206"/>
        <v>2.9947796028194761E-3</v>
      </c>
      <c r="BN191">
        <f t="shared" ca="1" si="207"/>
        <v>0.57927808246720414</v>
      </c>
      <c r="BO191">
        <f t="shared" ca="1" si="208"/>
        <v>0.91515582723438205</v>
      </c>
      <c r="BP191">
        <f t="shared" ca="1" si="214"/>
        <v>0.57927808246720414</v>
      </c>
      <c r="BQ191">
        <f t="shared" ca="1" si="209"/>
        <v>0.57927808246720414</v>
      </c>
      <c r="BR191">
        <f t="shared" ca="1" si="210"/>
        <v>2.9947796028194761E-3</v>
      </c>
      <c r="BS191">
        <f t="shared" ca="1" si="211"/>
        <v>2.9683084185921126E-3</v>
      </c>
      <c r="BT191">
        <f t="shared" ca="1" si="215"/>
        <v>2.9628072324903942E-3</v>
      </c>
    </row>
    <row r="192" spans="2:75" x14ac:dyDescent="0.2">
      <c r="C192" t="s">
        <v>937</v>
      </c>
      <c r="E192" s="1"/>
      <c r="F192" s="1">
        <f>I874</f>
        <v>3.62</v>
      </c>
      <c r="G192" s="1">
        <f>I881</f>
        <v>4.5799999999999992</v>
      </c>
      <c r="H192" s="1">
        <f>I889</f>
        <v>5.3</v>
      </c>
      <c r="I192" s="1"/>
      <c r="J192" s="1"/>
      <c r="K192" s="1"/>
      <c r="L192" s="1"/>
      <c r="M192" s="1"/>
      <c r="N192" s="1"/>
      <c r="O192" s="1"/>
      <c r="P192" s="1"/>
      <c r="Q192" s="1"/>
      <c r="U192" s="1"/>
      <c r="V192" s="1"/>
      <c r="W192" s="1"/>
      <c r="X192" s="1"/>
      <c r="Y192" s="1"/>
      <c r="Z192" s="1"/>
      <c r="AA192" s="1"/>
      <c r="AB192" s="1"/>
      <c r="AC192" s="1"/>
      <c r="AT192" t="str">
        <f t="shared" si="213"/>
        <v>Biomass+Geo</v>
      </c>
      <c r="AU192">
        <f t="shared" si="188"/>
        <v>0</v>
      </c>
      <c r="AV192">
        <f t="shared" si="189"/>
        <v>0</v>
      </c>
      <c r="AW192">
        <f t="shared" si="190"/>
        <v>3.62</v>
      </c>
      <c r="AX192">
        <f t="shared" si="191"/>
        <v>4.5799999999999992</v>
      </c>
      <c r="AY192">
        <f t="shared" si="192"/>
        <v>5.3</v>
      </c>
      <c r="AZ192">
        <f t="shared" si="193"/>
        <v>0</v>
      </c>
      <c r="BA192">
        <f t="shared" si="194"/>
        <v>0</v>
      </c>
      <c r="BB192">
        <f t="shared" si="195"/>
        <v>0</v>
      </c>
      <c r="BC192">
        <f t="shared" si="196"/>
        <v>0</v>
      </c>
      <c r="BD192">
        <f t="shared" si="197"/>
        <v>0</v>
      </c>
      <c r="BE192">
        <f t="shared" si="198"/>
        <v>0</v>
      </c>
      <c r="BF192">
        <f t="shared" si="199"/>
        <v>0</v>
      </c>
      <c r="BG192">
        <f t="shared" si="200"/>
        <v>0</v>
      </c>
      <c r="BH192">
        <f t="shared" si="201"/>
        <v>0</v>
      </c>
      <c r="BI192">
        <f t="shared" si="202"/>
        <v>0</v>
      </c>
      <c r="BJ192">
        <f t="shared" si="203"/>
        <v>0</v>
      </c>
      <c r="BK192">
        <f t="shared" si="204"/>
        <v>0</v>
      </c>
      <c r="BL192">
        <f t="shared" si="205"/>
        <v>0</v>
      </c>
      <c r="BM192">
        <f t="shared" si="206"/>
        <v>0</v>
      </c>
      <c r="BN192">
        <f t="shared" si="207"/>
        <v>0</v>
      </c>
      <c r="BO192">
        <f t="shared" si="208"/>
        <v>0</v>
      </c>
      <c r="BP192">
        <f t="shared" si="214"/>
        <v>0</v>
      </c>
      <c r="BQ192">
        <f t="shared" si="209"/>
        <v>0</v>
      </c>
      <c r="BR192">
        <f t="shared" si="210"/>
        <v>0</v>
      </c>
      <c r="BS192">
        <f t="shared" si="211"/>
        <v>0</v>
      </c>
      <c r="BT192">
        <f t="shared" si="215"/>
        <v>0</v>
      </c>
    </row>
    <row r="193" spans="2:75" x14ac:dyDescent="0.2">
      <c r="C193" t="s">
        <v>960</v>
      </c>
      <c r="D193">
        <v>0</v>
      </c>
      <c r="E193" s="1">
        <f>I692</f>
        <v>1.0666666666666667</v>
      </c>
      <c r="F193" s="1"/>
      <c r="G193" s="1"/>
      <c r="H193" s="1"/>
      <c r="I193" s="1">
        <f t="shared" ref="I193:P193" ca="1" si="224">OFFSET($I$1560,I115,0)</f>
        <v>0.33</v>
      </c>
      <c r="J193" s="1">
        <f t="shared" ca="1" si="224"/>
        <v>0.78</v>
      </c>
      <c r="K193" s="1">
        <f t="shared" ca="1" si="224"/>
        <v>0.33</v>
      </c>
      <c r="L193" s="1">
        <f t="shared" ca="1" si="224"/>
        <v>0.78</v>
      </c>
      <c r="M193" s="1">
        <f t="shared" ca="1" si="224"/>
        <v>0.78</v>
      </c>
      <c r="N193" s="1">
        <f t="shared" ca="1" si="224"/>
        <v>0.33</v>
      </c>
      <c r="O193" s="1">
        <f t="shared" ca="1" si="224"/>
        <v>0.78</v>
      </c>
      <c r="P193" s="1">
        <f t="shared" ca="1" si="224"/>
        <v>0.78</v>
      </c>
      <c r="Q193" s="1">
        <f>I1027</f>
        <v>0.19</v>
      </c>
      <c r="R193" s="1">
        <f>I1128</f>
        <v>0.8</v>
      </c>
      <c r="S193" s="1"/>
      <c r="T193" s="1"/>
      <c r="U193" s="1">
        <f t="shared" ref="U193:AC193" ca="1" si="225">OFFSET($I$2823,X115,0)</f>
        <v>0</v>
      </c>
      <c r="V193" s="1">
        <f t="shared" ca="1" si="225"/>
        <v>0.78796299999999997</v>
      </c>
      <c r="W193" s="1">
        <f t="shared" ca="1" si="225"/>
        <v>0</v>
      </c>
      <c r="X193" s="1">
        <f t="shared" ca="1" si="225"/>
        <v>0</v>
      </c>
      <c r="Y193" s="1">
        <f t="shared" ca="1" si="225"/>
        <v>0.6779169866074708</v>
      </c>
      <c r="Z193" s="1">
        <f t="shared" ca="1" si="225"/>
        <v>0</v>
      </c>
      <c r="AA193" s="1">
        <f t="shared" ca="1" si="225"/>
        <v>0.61898527968639039</v>
      </c>
      <c r="AB193" s="1">
        <f t="shared" ca="1" si="225"/>
        <v>0.51519799999999993</v>
      </c>
      <c r="AC193" s="1">
        <f t="shared" ca="1" si="225"/>
        <v>0</v>
      </c>
      <c r="AT193" t="str">
        <f t="shared" si="213"/>
        <v>Geo</v>
      </c>
      <c r="AU193">
        <f t="shared" si="188"/>
        <v>0</v>
      </c>
      <c r="AV193">
        <f t="shared" si="189"/>
        <v>1.0666666666666667</v>
      </c>
      <c r="AW193">
        <f t="shared" si="190"/>
        <v>0</v>
      </c>
      <c r="AX193">
        <f t="shared" si="191"/>
        <v>0</v>
      </c>
      <c r="AY193">
        <f t="shared" si="192"/>
        <v>0</v>
      </c>
      <c r="AZ193">
        <f t="shared" ca="1" si="193"/>
        <v>0.33</v>
      </c>
      <c r="BA193">
        <f t="shared" ca="1" si="194"/>
        <v>0.33</v>
      </c>
      <c r="BB193">
        <f t="shared" ca="1" si="195"/>
        <v>0.33</v>
      </c>
      <c r="BC193">
        <f t="shared" ca="1" si="196"/>
        <v>0.78</v>
      </c>
      <c r="BD193">
        <f t="shared" ca="1" si="197"/>
        <v>0.78</v>
      </c>
      <c r="BE193">
        <f t="shared" ca="1" si="198"/>
        <v>0.78</v>
      </c>
      <c r="BF193">
        <f t="shared" ca="1" si="199"/>
        <v>0.78</v>
      </c>
      <c r="BG193">
        <f t="shared" ca="1" si="200"/>
        <v>0.78</v>
      </c>
      <c r="BH193">
        <f t="shared" si="201"/>
        <v>0.19</v>
      </c>
      <c r="BI193">
        <f t="shared" si="202"/>
        <v>0.8</v>
      </c>
      <c r="BJ193">
        <f t="shared" si="203"/>
        <v>0</v>
      </c>
      <c r="BK193">
        <f t="shared" si="204"/>
        <v>0</v>
      </c>
      <c r="BL193">
        <f t="shared" ca="1" si="205"/>
        <v>0</v>
      </c>
      <c r="BM193">
        <f t="shared" ca="1" si="206"/>
        <v>0</v>
      </c>
      <c r="BN193">
        <f t="shared" ca="1" si="207"/>
        <v>0.61898527968639039</v>
      </c>
      <c r="BO193">
        <f t="shared" ca="1" si="208"/>
        <v>0.78796299999999997</v>
      </c>
      <c r="BP193">
        <f t="shared" ca="1" si="214"/>
        <v>0.6779169866074708</v>
      </c>
      <c r="BQ193">
        <f t="shared" ca="1" si="209"/>
        <v>0.51519799999999993</v>
      </c>
      <c r="BR193">
        <f t="shared" ca="1" si="210"/>
        <v>0</v>
      </c>
      <c r="BS193">
        <f t="shared" ca="1" si="211"/>
        <v>0</v>
      </c>
      <c r="BT193">
        <f t="shared" ca="1" si="215"/>
        <v>0</v>
      </c>
    </row>
    <row r="194" spans="2:75" x14ac:dyDescent="0.2">
      <c r="C194" t="s">
        <v>984</v>
      </c>
      <c r="D194" s="25">
        <f>R73</f>
        <v>1.6287</v>
      </c>
      <c r="E194" s="1">
        <f>I693</f>
        <v>4.1666666666666661</v>
      </c>
      <c r="F194" s="1"/>
      <c r="G194" s="1"/>
      <c r="H194" s="1"/>
      <c r="I194" s="1">
        <f ca="1">SUM(OFFSET($I$1559,I115,0):OFFSET($I$1565,I115,0))-I193</f>
        <v>2.42</v>
      </c>
      <c r="J194" s="1">
        <f ca="1">SUM(OFFSET($I$1559,J115,0):OFFSET($I$1565,J115,0))-J193</f>
        <v>4.09</v>
      </c>
      <c r="K194" s="1">
        <f ca="1">SUM(OFFSET($I$1559,K115,0):OFFSET($I$1565,K115,0))-K193</f>
        <v>2.42</v>
      </c>
      <c r="L194" s="1">
        <f ca="1">SUM(OFFSET($I$1559,L115,0):OFFSET($I$1565,L115,0))-L193</f>
        <v>4.09</v>
      </c>
      <c r="M194" s="1">
        <f ca="1">SUM(OFFSET($I$1559,M115,0):OFFSET($I$1565,M115,0))-M193</f>
        <v>4.09</v>
      </c>
      <c r="N194" s="1">
        <f ca="1">SUM(OFFSET($I$1559,N115,0):OFFSET($I$1565,N115,0))-N193</f>
        <v>2.42</v>
      </c>
      <c r="O194" s="1">
        <f ca="1">SUM(OFFSET($I$1559,O115,0):OFFSET($I$1565,O115,0))-O193</f>
        <v>4.09</v>
      </c>
      <c r="P194" s="1">
        <f ca="1">SUM(OFFSET($I$1559,P115,0):OFFSET($I$1565,P115,0))-P193</f>
        <v>4.09</v>
      </c>
      <c r="Q194" s="1">
        <f>I1024+I1025+I1026</f>
        <v>4.79</v>
      </c>
      <c r="R194">
        <f>I1127+I1122</f>
        <v>4.7</v>
      </c>
      <c r="S194" s="1">
        <f>I3115</f>
        <v>0</v>
      </c>
      <c r="T194" s="1">
        <f>I3138</f>
        <v>0.9192499999999999</v>
      </c>
      <c r="U194" s="1">
        <f t="shared" ref="U194:AC194" ca="1" si="226">OFFSET($I$2826,X115,0)+OFFSET($I$2827,X115,0)</f>
        <v>2.2361111111111125</v>
      </c>
      <c r="V194" s="1">
        <f t="shared" ca="1" si="226"/>
        <v>2.2687713869679271</v>
      </c>
      <c r="W194" s="1">
        <f t="shared" ca="1" si="226"/>
        <v>2.2361111111111125</v>
      </c>
      <c r="X194" s="1">
        <f t="shared" ca="1" si="226"/>
        <v>2.2361111111111125</v>
      </c>
      <c r="Y194" s="1">
        <f t="shared" ca="1" si="226"/>
        <v>2.6466094408929721</v>
      </c>
      <c r="Z194" s="1">
        <f t="shared" ca="1" si="226"/>
        <v>1.8669135122450542</v>
      </c>
      <c r="AA194" s="1">
        <f t="shared" ca="1" si="226"/>
        <v>2.2361111111111125</v>
      </c>
      <c r="AB194" s="1">
        <f t="shared" ca="1" si="226"/>
        <v>2.7419899705447293</v>
      </c>
      <c r="AC194" s="1">
        <f t="shared" ca="1" si="226"/>
        <v>1.8669135122450555</v>
      </c>
      <c r="AT194" t="str">
        <f t="shared" si="213"/>
        <v>Biomass</v>
      </c>
      <c r="AU194">
        <f t="shared" si="188"/>
        <v>1.6287</v>
      </c>
      <c r="AV194">
        <f t="shared" si="189"/>
        <v>4.1666666666666661</v>
      </c>
      <c r="AW194">
        <f t="shared" si="190"/>
        <v>0</v>
      </c>
      <c r="AX194">
        <f t="shared" si="191"/>
        <v>0</v>
      </c>
      <c r="AY194">
        <f t="shared" si="192"/>
        <v>0</v>
      </c>
      <c r="AZ194">
        <f t="shared" ca="1" si="193"/>
        <v>2.42</v>
      </c>
      <c r="BA194">
        <f t="shared" ca="1" si="194"/>
        <v>2.42</v>
      </c>
      <c r="BB194">
        <f t="shared" ca="1" si="195"/>
        <v>2.42</v>
      </c>
      <c r="BC194">
        <f t="shared" ca="1" si="196"/>
        <v>4.09</v>
      </c>
      <c r="BD194">
        <f t="shared" ca="1" si="197"/>
        <v>4.09</v>
      </c>
      <c r="BE194">
        <f t="shared" ca="1" si="198"/>
        <v>4.09</v>
      </c>
      <c r="BF194">
        <f t="shared" ca="1" si="199"/>
        <v>4.09</v>
      </c>
      <c r="BG194">
        <f t="shared" ca="1" si="200"/>
        <v>4.09</v>
      </c>
      <c r="BH194">
        <f t="shared" si="201"/>
        <v>4.79</v>
      </c>
      <c r="BI194">
        <f t="shared" si="202"/>
        <v>4.7</v>
      </c>
      <c r="BJ194">
        <f t="shared" si="203"/>
        <v>0</v>
      </c>
      <c r="BK194">
        <f t="shared" si="204"/>
        <v>0.9192499999999999</v>
      </c>
      <c r="BL194">
        <f t="shared" ca="1" si="205"/>
        <v>2.2361111111111125</v>
      </c>
      <c r="BM194">
        <f t="shared" ca="1" si="206"/>
        <v>2.2361111111111125</v>
      </c>
      <c r="BN194">
        <f t="shared" ca="1" si="207"/>
        <v>2.2361111111111125</v>
      </c>
      <c r="BO194">
        <f t="shared" ca="1" si="208"/>
        <v>2.2687713869679271</v>
      </c>
      <c r="BP194">
        <f t="shared" ca="1" si="214"/>
        <v>2.6466094408929721</v>
      </c>
      <c r="BQ194">
        <f t="shared" ca="1" si="209"/>
        <v>2.7419899705447293</v>
      </c>
      <c r="BR194">
        <f t="shared" ca="1" si="210"/>
        <v>2.2361111111111125</v>
      </c>
      <c r="BS194">
        <f t="shared" ca="1" si="211"/>
        <v>1.8669135122450542</v>
      </c>
      <c r="BT194">
        <f t="shared" ca="1" si="215"/>
        <v>1.8669135122450555</v>
      </c>
    </row>
    <row r="195" spans="2:75" x14ac:dyDescent="0.2">
      <c r="C195" t="s">
        <v>959</v>
      </c>
      <c r="E195" s="1">
        <f>I696+I687</f>
        <v>10.599999999999993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U195" s="1"/>
      <c r="V195" s="1"/>
      <c r="W195" s="1"/>
      <c r="X195" s="1"/>
      <c r="Y195" s="1"/>
      <c r="Z195" s="1"/>
      <c r="AA195" s="1"/>
      <c r="AB195" s="1"/>
      <c r="AC195" s="1"/>
      <c r="AT195" t="str">
        <f t="shared" si="213"/>
        <v>Gas+Net import</v>
      </c>
      <c r="AU195">
        <f t="shared" si="188"/>
        <v>0</v>
      </c>
      <c r="AV195">
        <f t="shared" si="189"/>
        <v>10.599999999999993</v>
      </c>
      <c r="AW195">
        <f t="shared" si="190"/>
        <v>0</v>
      </c>
      <c r="AX195">
        <f t="shared" si="191"/>
        <v>0</v>
      </c>
      <c r="AY195">
        <f t="shared" si="192"/>
        <v>0</v>
      </c>
      <c r="AZ195">
        <f t="shared" si="193"/>
        <v>0</v>
      </c>
      <c r="BA195">
        <f t="shared" si="194"/>
        <v>0</v>
      </c>
      <c r="BB195">
        <f t="shared" si="195"/>
        <v>0</v>
      </c>
      <c r="BC195">
        <f t="shared" si="196"/>
        <v>0</v>
      </c>
      <c r="BD195">
        <f t="shared" si="197"/>
        <v>0</v>
      </c>
      <c r="BE195">
        <f t="shared" si="198"/>
        <v>0</v>
      </c>
      <c r="BF195">
        <f t="shared" si="199"/>
        <v>0</v>
      </c>
      <c r="BG195">
        <f t="shared" si="200"/>
        <v>0</v>
      </c>
      <c r="BH195">
        <f t="shared" si="201"/>
        <v>0</v>
      </c>
      <c r="BI195">
        <f t="shared" si="202"/>
        <v>0</v>
      </c>
      <c r="BJ195">
        <f t="shared" si="203"/>
        <v>0</v>
      </c>
      <c r="BK195">
        <f t="shared" si="204"/>
        <v>0</v>
      </c>
      <c r="BL195">
        <f t="shared" si="205"/>
        <v>0</v>
      </c>
      <c r="BM195">
        <f t="shared" si="206"/>
        <v>0</v>
      </c>
      <c r="BN195">
        <f t="shared" si="207"/>
        <v>0</v>
      </c>
      <c r="BO195">
        <f t="shared" si="208"/>
        <v>0</v>
      </c>
      <c r="BP195">
        <f t="shared" si="214"/>
        <v>0</v>
      </c>
      <c r="BQ195">
        <f t="shared" si="209"/>
        <v>0</v>
      </c>
      <c r="BR195">
        <f t="shared" si="210"/>
        <v>0</v>
      </c>
      <c r="BS195">
        <f t="shared" si="211"/>
        <v>0</v>
      </c>
      <c r="BT195">
        <f t="shared" si="215"/>
        <v>0</v>
      </c>
    </row>
    <row r="196" spans="2:75" x14ac:dyDescent="0.2">
      <c r="C196" t="s">
        <v>971</v>
      </c>
      <c r="D196" s="25">
        <f>R68-R72</f>
        <v>1.3837999999999999</v>
      </c>
      <c r="E196" s="1"/>
      <c r="F196" s="1">
        <f>I877</f>
        <v>13</v>
      </c>
      <c r="G196" s="1">
        <f>I884</f>
        <v>9</v>
      </c>
      <c r="H196" s="1">
        <f>I892</f>
        <v>2</v>
      </c>
      <c r="I196" s="1">
        <f t="shared" ref="I196:P196" ca="1" si="227">OFFSET($I$1550,I115,0)</f>
        <v>15.34</v>
      </c>
      <c r="J196" s="1">
        <f t="shared" ca="1" si="227"/>
        <v>11.16</v>
      </c>
      <c r="K196" s="1">
        <f t="shared" ca="1" si="227"/>
        <v>8.94</v>
      </c>
      <c r="L196" s="1">
        <f t="shared" ca="1" si="227"/>
        <v>6.71</v>
      </c>
      <c r="M196" s="1">
        <f t="shared" ca="1" si="227"/>
        <v>3.62</v>
      </c>
      <c r="N196" s="1">
        <f t="shared" ca="1" si="227"/>
        <v>10.02</v>
      </c>
      <c r="O196" s="1">
        <f t="shared" ca="1" si="227"/>
        <v>7.79</v>
      </c>
      <c r="P196" s="1">
        <f t="shared" ca="1" si="227"/>
        <v>3.62</v>
      </c>
      <c r="Q196" s="1">
        <f>I1023</f>
        <v>3.8</v>
      </c>
      <c r="R196" s="1">
        <f>I1115</f>
        <v>2.4</v>
      </c>
      <c r="S196" s="1">
        <f>I3110+I3113+I3114</f>
        <v>24.973777777777777</v>
      </c>
      <c r="T196" s="1">
        <f>I3133+I3136+I3137</f>
        <v>15.049250000000001</v>
      </c>
      <c r="U196" s="1">
        <f t="shared" ref="U196:AC196" ca="1" si="228">OFFSET($I$2818,X115,0)+OFFSET($I$2819,X115,0)+OFFSET($I$2820,X115,0)+OFFSET($I$2822,X115,0)</f>
        <v>14.190901403806414</v>
      </c>
      <c r="V196" s="1">
        <f t="shared" ca="1" si="228"/>
        <v>0.205591949698927</v>
      </c>
      <c r="W196" s="1">
        <f t="shared" ca="1" si="228"/>
        <v>4.8484832333279293</v>
      </c>
      <c r="X196" s="1">
        <f t="shared" ca="1" si="228"/>
        <v>9.28017949530153</v>
      </c>
      <c r="Y196" s="1">
        <f t="shared" ca="1" si="228"/>
        <v>0.20138683139919858</v>
      </c>
      <c r="Z196" s="1">
        <f t="shared" ca="1" si="228"/>
        <v>2.9605851424468761</v>
      </c>
      <c r="AA196" s="1">
        <f t="shared" ca="1" si="228"/>
        <v>6.7197538633872789</v>
      </c>
      <c r="AB196" s="1">
        <f t="shared" ca="1" si="228"/>
        <v>0.15535409136703038</v>
      </c>
      <c r="AC196" s="1">
        <f t="shared" ca="1" si="228"/>
        <v>2.1629442023350984</v>
      </c>
      <c r="AT196" t="str">
        <f t="shared" si="213"/>
        <v>Gas, Fossils</v>
      </c>
      <c r="AU196">
        <f t="shared" si="188"/>
        <v>1.3837999999999999</v>
      </c>
      <c r="AV196">
        <f t="shared" si="189"/>
        <v>0</v>
      </c>
      <c r="AW196">
        <f t="shared" si="190"/>
        <v>13</v>
      </c>
      <c r="AX196">
        <f t="shared" si="191"/>
        <v>9</v>
      </c>
      <c r="AY196">
        <f t="shared" si="192"/>
        <v>2</v>
      </c>
      <c r="AZ196">
        <f t="shared" ca="1" si="193"/>
        <v>15.34</v>
      </c>
      <c r="BA196">
        <f t="shared" ca="1" si="194"/>
        <v>10.02</v>
      </c>
      <c r="BB196">
        <f t="shared" ca="1" si="195"/>
        <v>8.94</v>
      </c>
      <c r="BC196">
        <f t="shared" ca="1" si="196"/>
        <v>3.62</v>
      </c>
      <c r="BD196">
        <f t="shared" ca="1" si="197"/>
        <v>3.62</v>
      </c>
      <c r="BE196">
        <f t="shared" ca="1" si="198"/>
        <v>11.16</v>
      </c>
      <c r="BF196">
        <f t="shared" ca="1" si="199"/>
        <v>7.79</v>
      </c>
      <c r="BG196">
        <f t="shared" ca="1" si="200"/>
        <v>6.71</v>
      </c>
      <c r="BH196">
        <f t="shared" si="201"/>
        <v>3.8</v>
      </c>
      <c r="BI196">
        <f t="shared" si="202"/>
        <v>2.4</v>
      </c>
      <c r="BJ196">
        <f t="shared" si="203"/>
        <v>24.973777777777777</v>
      </c>
      <c r="BK196">
        <f t="shared" si="204"/>
        <v>15.049250000000001</v>
      </c>
      <c r="BL196">
        <f t="shared" ca="1" si="205"/>
        <v>14.190901403806414</v>
      </c>
      <c r="BM196">
        <f t="shared" ca="1" si="206"/>
        <v>9.28017949530153</v>
      </c>
      <c r="BN196">
        <f t="shared" ca="1" si="207"/>
        <v>6.7197538633872789</v>
      </c>
      <c r="BO196">
        <f t="shared" ca="1" si="208"/>
        <v>0.205591949698927</v>
      </c>
      <c r="BP196">
        <f t="shared" ca="1" si="214"/>
        <v>0.20138683139919858</v>
      </c>
      <c r="BQ196">
        <f t="shared" ca="1" si="209"/>
        <v>0.15535409136703038</v>
      </c>
      <c r="BR196">
        <f t="shared" ca="1" si="210"/>
        <v>4.8484832333279293</v>
      </c>
      <c r="BS196">
        <f t="shared" ca="1" si="211"/>
        <v>2.9605851424468761</v>
      </c>
      <c r="BT196">
        <f t="shared" ca="1" si="215"/>
        <v>2.1629442023350984</v>
      </c>
    </row>
    <row r="197" spans="2:75" x14ac:dyDescent="0.2">
      <c r="C197" s="14" t="s">
        <v>958</v>
      </c>
      <c r="D197" s="14">
        <f>R78-R79</f>
        <v>-5.4909999999999997</v>
      </c>
      <c r="E197" s="80"/>
      <c r="F197" s="80">
        <f>I878</f>
        <v>15</v>
      </c>
      <c r="G197" s="80">
        <f>I885</f>
        <v>15</v>
      </c>
      <c r="H197" s="80">
        <f>I893</f>
        <v>16</v>
      </c>
      <c r="I197" s="80">
        <f t="shared" ref="I197:P197" ca="1" si="229">OFFSET($I$1575,I115,0)</f>
        <v>6.16</v>
      </c>
      <c r="J197" s="80">
        <f t="shared" ca="1" si="229"/>
        <v>5.48</v>
      </c>
      <c r="K197" s="80">
        <f t="shared" ca="1" si="229"/>
        <v>4.46</v>
      </c>
      <c r="L197" s="80">
        <f t="shared" ca="1" si="229"/>
        <v>1.8399999999999999</v>
      </c>
      <c r="M197" s="80">
        <f t="shared" ca="1" si="229"/>
        <v>4.9399999999999995</v>
      </c>
      <c r="N197" s="80">
        <f t="shared" ca="1" si="229"/>
        <v>5.35</v>
      </c>
      <c r="O197" s="80">
        <f t="shared" ca="1" si="229"/>
        <v>2.7199999999999998</v>
      </c>
      <c r="P197" s="80">
        <f t="shared" ca="1" si="229"/>
        <v>6.89</v>
      </c>
      <c r="Q197" s="80">
        <f>I1018</f>
        <v>7.1</v>
      </c>
      <c r="R197" s="80">
        <f>I1130</f>
        <v>5</v>
      </c>
      <c r="S197" s="80"/>
      <c r="T197" s="80"/>
      <c r="U197" s="80">
        <f t="shared" ref="U197:AC197" ca="1" si="230">OFFSET($I$2834,X115,0)</f>
        <v>1.6520118606422329E-13</v>
      </c>
      <c r="V197" s="80">
        <f t="shared" ca="1" si="230"/>
        <v>11.540275220372973</v>
      </c>
      <c r="W197" s="80">
        <f t="shared" ca="1" si="230"/>
        <v>0</v>
      </c>
      <c r="X197" s="80">
        <f t="shared" ca="1" si="230"/>
        <v>2.8421709430404007E-14</v>
      </c>
      <c r="Y197" s="80">
        <f t="shared" ca="1" si="230"/>
        <v>6.722214162710932</v>
      </c>
      <c r="Z197" s="80">
        <f t="shared" ca="1" si="230"/>
        <v>0</v>
      </c>
      <c r="AA197" s="80">
        <f t="shared" ca="1" si="230"/>
        <v>9.4146912488213275E-14</v>
      </c>
      <c r="AB197" s="80">
        <f t="shared" ca="1" si="230"/>
        <v>5.8152233433686416</v>
      </c>
      <c r="AC197" s="80">
        <f t="shared" ca="1" si="230"/>
        <v>1.794120407794253E-13</v>
      </c>
      <c r="AT197" t="str">
        <f t="shared" si="213"/>
        <v>Net import</v>
      </c>
      <c r="AU197">
        <f t="shared" si="188"/>
        <v>-5.4909999999999997</v>
      </c>
      <c r="AV197">
        <f t="shared" si="189"/>
        <v>0</v>
      </c>
      <c r="AW197">
        <f t="shared" si="190"/>
        <v>15</v>
      </c>
      <c r="AX197">
        <f t="shared" si="191"/>
        <v>15</v>
      </c>
      <c r="AY197">
        <f t="shared" si="192"/>
        <v>16</v>
      </c>
      <c r="AZ197">
        <f t="shared" ca="1" si="193"/>
        <v>6.16</v>
      </c>
      <c r="BA197">
        <f t="shared" ca="1" si="194"/>
        <v>5.35</v>
      </c>
      <c r="BB197">
        <f t="shared" ca="1" si="195"/>
        <v>4.46</v>
      </c>
      <c r="BC197">
        <f t="shared" ca="1" si="196"/>
        <v>6.89</v>
      </c>
      <c r="BD197">
        <f t="shared" ca="1" si="197"/>
        <v>4.9399999999999995</v>
      </c>
      <c r="BE197">
        <f t="shared" ca="1" si="198"/>
        <v>5.48</v>
      </c>
      <c r="BF197">
        <f t="shared" ca="1" si="199"/>
        <v>2.7199999999999998</v>
      </c>
      <c r="BG197">
        <f t="shared" ca="1" si="200"/>
        <v>1.8399999999999999</v>
      </c>
      <c r="BH197">
        <f t="shared" si="201"/>
        <v>7.1</v>
      </c>
      <c r="BI197">
        <f t="shared" si="202"/>
        <v>5</v>
      </c>
      <c r="BJ197">
        <f t="shared" si="203"/>
        <v>0</v>
      </c>
      <c r="BK197">
        <f t="shared" si="204"/>
        <v>0</v>
      </c>
      <c r="BL197">
        <f t="shared" ca="1" si="205"/>
        <v>1.6520118606422329E-13</v>
      </c>
      <c r="BM197">
        <f t="shared" ca="1" si="206"/>
        <v>2.8421709430404007E-14</v>
      </c>
      <c r="BN197">
        <f t="shared" ca="1" si="207"/>
        <v>9.4146912488213275E-14</v>
      </c>
      <c r="BO197">
        <f t="shared" ca="1" si="208"/>
        <v>11.540275220372973</v>
      </c>
      <c r="BP197">
        <f t="shared" ca="1" si="214"/>
        <v>6.722214162710932</v>
      </c>
      <c r="BQ197">
        <f t="shared" ca="1" si="209"/>
        <v>5.8152233433686416</v>
      </c>
      <c r="BR197">
        <f t="shared" ca="1" si="210"/>
        <v>0</v>
      </c>
      <c r="BS197">
        <f t="shared" ca="1" si="211"/>
        <v>0</v>
      </c>
      <c r="BT197">
        <f t="shared" ca="1" si="215"/>
        <v>1.794120407794253E-13</v>
      </c>
    </row>
    <row r="198" spans="2:75" x14ac:dyDescent="0.2">
      <c r="C198" t="s">
        <v>957</v>
      </c>
      <c r="D198" s="4">
        <f>SUM(D186:D197)</f>
        <v>61.786999999999992</v>
      </c>
      <c r="E198" s="4">
        <f t="shared" ref="E198" si="231">SUM(E186:E197)</f>
        <v>73.333333333333329</v>
      </c>
      <c r="F198" s="4">
        <f t="shared" ref="F198" si="232">SUM(F186:F197)</f>
        <v>76.94</v>
      </c>
      <c r="G198" s="4">
        <f t="shared" ref="G198" si="233">SUM(G186:G197)</f>
        <v>75.7</v>
      </c>
      <c r="H198" s="4">
        <f t="shared" ref="H198" si="234">SUM(H186:H197)</f>
        <v>72.42</v>
      </c>
      <c r="I198" s="4">
        <f t="shared" ref="I198" ca="1" si="235">SUM(I186:I197)</f>
        <v>68.820000000000007</v>
      </c>
      <c r="J198" s="4">
        <f t="shared" ref="J198" ca="1" si="236">SUM(J186:J197)</f>
        <v>68.820000000000007</v>
      </c>
      <c r="K198" s="4">
        <f t="shared" ref="K198" ca="1" si="237">SUM(K186:K197)</f>
        <v>60.720000000000006</v>
      </c>
      <c r="L198" s="4">
        <f t="shared" ref="L198" ca="1" si="238">SUM(L186:L197)</f>
        <v>60.730000000000004</v>
      </c>
      <c r="M198" s="4">
        <f t="shared" ref="M198" ca="1" si="239">SUM(M186:M197)</f>
        <v>60.74</v>
      </c>
      <c r="N198" s="4">
        <f t="shared" ref="N198" ca="1" si="240">SUM(N186:N197)</f>
        <v>62.690000000000005</v>
      </c>
      <c r="O198" s="4">
        <f t="shared" ref="O198" ca="1" si="241">SUM(O186:O197)</f>
        <v>62.690000000000005</v>
      </c>
      <c r="P198" s="4">
        <f t="shared" ref="P198" ca="1" si="242">SUM(P186:P197)</f>
        <v>62.690000000000005</v>
      </c>
      <c r="Q198" s="4">
        <f t="shared" ref="Q198" si="243">SUM(Q186:Q197)</f>
        <v>71.72</v>
      </c>
      <c r="R198" s="4">
        <f t="shared" ref="R198" si="244">SUM(R186:R197)</f>
        <v>65.006</v>
      </c>
      <c r="S198" s="6">
        <f>SUM(V117:V128)</f>
        <v>84.504055555555567</v>
      </c>
      <c r="T198" s="6">
        <f t="shared" ref="T198:AC198" si="245">SUM(W117:W128)</f>
        <v>76.410499999999985</v>
      </c>
      <c r="U198" s="6">
        <f t="shared" ca="1" si="245"/>
        <v>72.915720063806148</v>
      </c>
      <c r="V198" s="6">
        <f t="shared" ca="1" si="245"/>
        <v>72.915720063772739</v>
      </c>
      <c r="W198" s="6">
        <f t="shared" ca="1" si="245"/>
        <v>72.915720063817929</v>
      </c>
      <c r="X198" s="6">
        <f t="shared" ca="1" si="245"/>
        <v>64.401653352455099</v>
      </c>
      <c r="Y198" s="6">
        <f t="shared" ca="1" si="245"/>
        <v>64.401653352418435</v>
      </c>
      <c r="Z198" s="6">
        <f t="shared" ca="1" si="245"/>
        <v>64.401653352475037</v>
      </c>
      <c r="AA198" s="6">
        <f t="shared" ca="1" si="245"/>
        <v>56.817674868853075</v>
      </c>
      <c r="AB198" s="6">
        <f t="shared" ca="1" si="245"/>
        <v>56.817674868833734</v>
      </c>
      <c r="AC198" s="6">
        <f t="shared" ca="1" si="245"/>
        <v>57.987918357277749</v>
      </c>
    </row>
    <row r="199" spans="2:75" x14ac:dyDescent="0.2"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2:75" x14ac:dyDescent="0.2">
      <c r="C200" s="25" t="s">
        <v>953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2:75" x14ac:dyDescent="0.2"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75" x14ac:dyDescent="0.2"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2:75" x14ac:dyDescent="0.2"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2:75" x14ac:dyDescent="0.2"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2:75" x14ac:dyDescent="0.2">
      <c r="B205" s="99" t="s">
        <v>949</v>
      </c>
      <c r="C205" s="14"/>
      <c r="D205" s="14"/>
      <c r="E205" s="14"/>
      <c r="F205" s="14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2:75" x14ac:dyDescent="0.2">
      <c r="B206" s="102"/>
      <c r="C206" s="29"/>
      <c r="D206" s="29"/>
      <c r="E206" s="29"/>
      <c r="F206" s="29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spans="2:75" ht="15" x14ac:dyDescent="0.25">
      <c r="B207" s="2" t="s">
        <v>978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2:75" ht="15" x14ac:dyDescent="0.25">
      <c r="B208" s="13" t="s">
        <v>128</v>
      </c>
      <c r="D208" s="2">
        <v>2011</v>
      </c>
      <c r="E208" s="2" t="str">
        <f>E139</f>
        <v>ETH/ESC, mittel</v>
      </c>
      <c r="F208" s="2" t="str">
        <f t="shared" ref="F208:AC208" si="246">F139</f>
        <v>VSE, Szen.1</v>
      </c>
      <c r="G208" s="2" t="str">
        <f t="shared" si="246"/>
        <v>VSE, Szen.2</v>
      </c>
      <c r="H208" s="2" t="str">
        <f t="shared" si="246"/>
        <v>VSE, Szen.3</v>
      </c>
      <c r="I208" s="2" t="str">
        <f t="shared" si="246"/>
        <v xml:space="preserve">BFE, WWB+C    </v>
      </c>
      <c r="J208" s="2" t="str">
        <f t="shared" si="246"/>
        <v>BFE, WWB+C+E</v>
      </c>
      <c r="K208" s="2" t="str">
        <f t="shared" si="246"/>
        <v xml:space="preserve">BFE, NEP+C     </v>
      </c>
      <c r="L208" s="2" t="str">
        <f t="shared" si="246"/>
        <v>BFE, NEP+C+E</v>
      </c>
      <c r="M208" s="2" t="str">
        <f t="shared" si="246"/>
        <v xml:space="preserve">BFE, NEP+E     </v>
      </c>
      <c r="N208" s="2" t="str">
        <f t="shared" si="246"/>
        <v xml:space="preserve">BFE, POM+C    </v>
      </c>
      <c r="O208" s="2" t="str">
        <f t="shared" si="246"/>
        <v>BFE, POM+C+E</v>
      </c>
      <c r="P208" s="2" t="str">
        <f t="shared" si="246"/>
        <v xml:space="preserve">BFE, POM+E    </v>
      </c>
      <c r="Q208" s="2" t="str">
        <f t="shared" si="246"/>
        <v>Cleantech</v>
      </c>
      <c r="R208" s="2" t="str">
        <f t="shared" si="246"/>
        <v>Greenpeace</v>
      </c>
      <c r="S208" s="2" t="str">
        <f t="shared" si="246"/>
        <v>PSI-sys, noClimPol</v>
      </c>
      <c r="T208" s="2" t="str">
        <f t="shared" si="246"/>
        <v>PSI-sys, -50% CO2</v>
      </c>
      <c r="U208" s="2" t="str">
        <f t="shared" si="246"/>
        <v>PSI-elc, WWB+Gas</v>
      </c>
      <c r="V208" s="2" t="str">
        <f t="shared" si="246"/>
        <v>PSI-elc, WWB+Imp</v>
      </c>
      <c r="W208" s="2" t="str">
        <f t="shared" si="246"/>
        <v>PSI-elc, WWB+Nuc</v>
      </c>
      <c r="X208" s="2" t="str">
        <f t="shared" si="246"/>
        <v>PSI-elc, POM+Gas</v>
      </c>
      <c r="Y208" s="2" t="str">
        <f t="shared" si="246"/>
        <v>PSI-elc, POM+Imp</v>
      </c>
      <c r="Z208" s="2" t="str">
        <f t="shared" si="246"/>
        <v>PSI-elc, POM+Nuc</v>
      </c>
      <c r="AA208" s="2" t="str">
        <f t="shared" si="246"/>
        <v>PSI-elc, NEP+Gas</v>
      </c>
      <c r="AB208" s="2" t="str">
        <f t="shared" si="246"/>
        <v>PSI-elc, NEP+Imp</v>
      </c>
      <c r="AC208" s="2" t="str">
        <f t="shared" si="246"/>
        <v>PSI-elc, NEP+Nuc</v>
      </c>
      <c r="AU208">
        <f t="shared" ref="AU208:AU220" si="247">D208</f>
        <v>2011</v>
      </c>
      <c r="AV208" s="160" t="str">
        <f t="shared" ref="AV208:AV220" si="248">E208</f>
        <v>ETH/ESC, mittel</v>
      </c>
      <c r="AW208" s="160" t="str">
        <f t="shared" ref="AW208:AW220" si="249">F208</f>
        <v>VSE, Szen.1</v>
      </c>
      <c r="AX208" s="160" t="str">
        <f t="shared" ref="AX208:AX220" si="250">G208</f>
        <v>VSE, Szen.2</v>
      </c>
      <c r="AY208" s="160" t="str">
        <f t="shared" ref="AY208:AY220" si="251">H208</f>
        <v>VSE, Szen.3</v>
      </c>
      <c r="AZ208" s="160" t="str">
        <f t="shared" ref="AZ208:AZ220" si="252">I208</f>
        <v xml:space="preserve">BFE, WWB+C    </v>
      </c>
      <c r="BA208" s="160" t="str">
        <f t="shared" ref="BA208:BA220" si="253">N208</f>
        <v xml:space="preserve">BFE, POM+C    </v>
      </c>
      <c r="BB208" s="160" t="str">
        <f t="shared" ref="BB208:BB220" si="254">K208</f>
        <v xml:space="preserve">BFE, NEP+C     </v>
      </c>
      <c r="BC208" s="160" t="str">
        <f t="shared" ref="BC208:BC220" si="255">P208</f>
        <v xml:space="preserve">BFE, POM+E    </v>
      </c>
      <c r="BD208" s="160" t="str">
        <f t="shared" ref="BD208:BD220" si="256">M208</f>
        <v xml:space="preserve">BFE, NEP+E     </v>
      </c>
      <c r="BE208" s="160" t="str">
        <f t="shared" ref="BE208:BE220" si="257">J208</f>
        <v>BFE, WWB+C+E</v>
      </c>
      <c r="BF208" s="160" t="str">
        <f t="shared" ref="BF208:BF220" si="258">O208</f>
        <v>BFE, POM+C+E</v>
      </c>
      <c r="BG208" s="160" t="str">
        <f t="shared" ref="BG208:BG220" si="259">L208</f>
        <v>BFE, NEP+C+E</v>
      </c>
      <c r="BH208" s="160" t="str">
        <f t="shared" ref="BH208:BH220" si="260">Q208</f>
        <v>Cleantech</v>
      </c>
      <c r="BI208" s="160" t="str">
        <f t="shared" ref="BI208:BI220" si="261">R208</f>
        <v>Greenpeace</v>
      </c>
      <c r="BJ208" s="160" t="str">
        <f t="shared" ref="BJ208:BJ220" si="262">S208</f>
        <v>PSI-sys, noClimPol</v>
      </c>
      <c r="BK208" s="160" t="str">
        <f t="shared" ref="BK208:BK220" si="263">T208</f>
        <v>PSI-sys, -50% CO2</v>
      </c>
      <c r="BL208" s="160" t="str">
        <f t="shared" ref="BL208:BL220" si="264">U208</f>
        <v>PSI-elc, WWB+Gas</v>
      </c>
      <c r="BM208" s="160" t="str">
        <f t="shared" ref="BM208:BM220" si="265">X208</f>
        <v>PSI-elc, POM+Gas</v>
      </c>
      <c r="BN208" s="160" t="str">
        <f t="shared" ref="BN208:BN220" si="266">AA208</f>
        <v>PSI-elc, NEP+Gas</v>
      </c>
      <c r="BO208" s="160" t="str">
        <f t="shared" ref="BO208:BO220" si="267">V208</f>
        <v>PSI-elc, WWB+Imp</v>
      </c>
      <c r="BP208" s="160" t="str">
        <f>Y208</f>
        <v>PSI-elc, POM+Imp</v>
      </c>
      <c r="BQ208" s="160" t="str">
        <f t="shared" ref="BQ208:BQ220" si="268">AB208</f>
        <v>PSI-elc, NEP+Imp</v>
      </c>
      <c r="BR208" s="160" t="str">
        <f t="shared" ref="BR208:BR220" si="269">W208</f>
        <v>PSI-elc, WWB+Nuc</v>
      </c>
      <c r="BS208" s="160" t="str">
        <f t="shared" ref="BS208:BS220" si="270">Z208</f>
        <v>PSI-elc, POM+Nuc</v>
      </c>
      <c r="BT208" s="160" t="str">
        <f>AC208</f>
        <v>PSI-elc, NEP+Nuc</v>
      </c>
      <c r="BU208" s="160"/>
      <c r="BV208" s="160"/>
      <c r="BW208" s="160"/>
    </row>
    <row r="209" spans="3:72" x14ac:dyDescent="0.2">
      <c r="C209" t="s">
        <v>934</v>
      </c>
      <c r="E209" s="1">
        <f>G689</f>
        <v>36.5</v>
      </c>
      <c r="F209" s="1"/>
      <c r="G209" s="1"/>
      <c r="H209" s="1"/>
      <c r="I209" s="1">
        <f t="shared" ref="I209:P209" ca="1" si="271">OFFSET($G$1546,I115,0)+OFFSET($G$1567,I115,0)</f>
        <v>33.94</v>
      </c>
      <c r="J209" s="1">
        <f t="shared" ca="1" si="271"/>
        <v>34.42</v>
      </c>
      <c r="K209" s="1">
        <f t="shared" ca="1" si="271"/>
        <v>33.94</v>
      </c>
      <c r="L209" s="1">
        <f t="shared" ca="1" si="271"/>
        <v>34.42</v>
      </c>
      <c r="M209" s="1">
        <f t="shared" ca="1" si="271"/>
        <v>34.42</v>
      </c>
      <c r="N209" s="1">
        <f t="shared" ca="1" si="271"/>
        <v>33.94</v>
      </c>
      <c r="O209" s="1">
        <f t="shared" ca="1" si="271"/>
        <v>34.42</v>
      </c>
      <c r="P209" s="1">
        <f t="shared" ca="1" si="271"/>
        <v>34.42</v>
      </c>
      <c r="Q209" s="1">
        <f>G1019+G1020</f>
        <v>34.380000000000003</v>
      </c>
      <c r="R209" s="1">
        <f>G1124-N65</f>
        <v>33.506</v>
      </c>
      <c r="S209" s="1">
        <f>G3111</f>
        <v>35.229916666666668</v>
      </c>
      <c r="T209" s="1">
        <f>G3134</f>
        <v>35.742694444444446</v>
      </c>
      <c r="AT209" t="str">
        <f t="shared" ref="AT209:AT220" si="272">C209</f>
        <v>Hydro</v>
      </c>
      <c r="AU209">
        <f t="shared" si="247"/>
        <v>0</v>
      </c>
      <c r="AV209">
        <f t="shared" si="248"/>
        <v>36.5</v>
      </c>
      <c r="AW209">
        <f t="shared" si="249"/>
        <v>0</v>
      </c>
      <c r="AX209">
        <f t="shared" si="250"/>
        <v>0</v>
      </c>
      <c r="AY209">
        <f t="shared" si="251"/>
        <v>0</v>
      </c>
      <c r="AZ209">
        <f t="shared" ca="1" si="252"/>
        <v>33.94</v>
      </c>
      <c r="BA209">
        <f t="shared" ca="1" si="253"/>
        <v>33.94</v>
      </c>
      <c r="BB209">
        <f t="shared" ca="1" si="254"/>
        <v>33.94</v>
      </c>
      <c r="BC209">
        <f t="shared" ca="1" si="255"/>
        <v>34.42</v>
      </c>
      <c r="BD209">
        <f t="shared" ca="1" si="256"/>
        <v>34.42</v>
      </c>
      <c r="BE209">
        <f t="shared" ca="1" si="257"/>
        <v>34.42</v>
      </c>
      <c r="BF209">
        <f t="shared" ca="1" si="258"/>
        <v>34.42</v>
      </c>
      <c r="BG209">
        <f t="shared" ca="1" si="259"/>
        <v>34.42</v>
      </c>
      <c r="BH209">
        <f t="shared" si="260"/>
        <v>34.380000000000003</v>
      </c>
      <c r="BI209">
        <f t="shared" si="261"/>
        <v>33.506</v>
      </c>
      <c r="BJ209">
        <f t="shared" si="262"/>
        <v>35.229916666666668</v>
      </c>
      <c r="BK209">
        <f t="shared" si="263"/>
        <v>35.742694444444446</v>
      </c>
      <c r="BL209">
        <f t="shared" si="264"/>
        <v>0</v>
      </c>
      <c r="BM209">
        <f t="shared" si="265"/>
        <v>0</v>
      </c>
      <c r="BN209">
        <f t="shared" si="266"/>
        <v>0</v>
      </c>
      <c r="BO209">
        <f t="shared" si="267"/>
        <v>0</v>
      </c>
      <c r="BP209">
        <f t="shared" ref="BP209:BP220" si="273">Y209</f>
        <v>0</v>
      </c>
      <c r="BQ209">
        <f t="shared" si="268"/>
        <v>0</v>
      </c>
      <c r="BR209">
        <f t="shared" si="269"/>
        <v>0</v>
      </c>
      <c r="BS209">
        <f t="shared" si="270"/>
        <v>0</v>
      </c>
      <c r="BT209">
        <f t="shared" ref="BT209:BT220" si="274">AC209</f>
        <v>0</v>
      </c>
    </row>
    <row r="210" spans="3:72" x14ac:dyDescent="0.2">
      <c r="C210" t="s">
        <v>961</v>
      </c>
      <c r="D210" s="25">
        <f>O63</f>
        <v>14.733000000000001</v>
      </c>
      <c r="E210" s="1"/>
      <c r="F210" s="1">
        <f>G873</f>
        <v>16</v>
      </c>
      <c r="G210" s="1">
        <f>G880</f>
        <v>16</v>
      </c>
      <c r="H210" s="1">
        <f>G888</f>
        <v>17</v>
      </c>
      <c r="I210" s="1"/>
      <c r="J210" s="1"/>
      <c r="K210" s="1"/>
      <c r="L210" s="1"/>
      <c r="M210" s="1"/>
      <c r="N210" s="1"/>
      <c r="O210" s="1"/>
      <c r="P210" s="1"/>
      <c r="Q210" s="1"/>
      <c r="S210" s="1"/>
      <c r="T210" s="1"/>
      <c r="U210" s="1">
        <f t="shared" ref="U210:AC210" ca="1" si="275">OFFSET($G$2828,X115,0)</f>
        <v>18.114874999999973</v>
      </c>
      <c r="V210" s="1">
        <f t="shared" ca="1" si="275"/>
        <v>18.114874999999973</v>
      </c>
      <c r="W210" s="1">
        <f t="shared" ca="1" si="275"/>
        <v>18.114874999999973</v>
      </c>
      <c r="X210" s="1">
        <f t="shared" ca="1" si="275"/>
        <v>18.114874999999973</v>
      </c>
      <c r="Y210" s="1">
        <f t="shared" ca="1" si="275"/>
        <v>18.114874999999973</v>
      </c>
      <c r="Z210" s="1">
        <f t="shared" ca="1" si="275"/>
        <v>18.114874999999973</v>
      </c>
      <c r="AA210" s="1">
        <f t="shared" ca="1" si="275"/>
        <v>18.114874999999973</v>
      </c>
      <c r="AB210" s="1">
        <f t="shared" ca="1" si="275"/>
        <v>18.114874999999973</v>
      </c>
      <c r="AC210" s="1">
        <f t="shared" ca="1" si="275"/>
        <v>18.114874999999973</v>
      </c>
      <c r="AT210" t="str">
        <f t="shared" si="272"/>
        <v>Hydro river</v>
      </c>
      <c r="AU210">
        <f t="shared" si="247"/>
        <v>14.733000000000001</v>
      </c>
      <c r="AV210">
        <f t="shared" si="248"/>
        <v>0</v>
      </c>
      <c r="AW210">
        <f t="shared" si="249"/>
        <v>16</v>
      </c>
      <c r="AX210">
        <f t="shared" si="250"/>
        <v>16</v>
      </c>
      <c r="AY210">
        <f t="shared" si="251"/>
        <v>17</v>
      </c>
      <c r="AZ210">
        <f t="shared" si="252"/>
        <v>0</v>
      </c>
      <c r="BA210">
        <f t="shared" si="253"/>
        <v>0</v>
      </c>
      <c r="BB210">
        <f t="shared" si="254"/>
        <v>0</v>
      </c>
      <c r="BC210">
        <f t="shared" si="255"/>
        <v>0</v>
      </c>
      <c r="BD210">
        <f t="shared" si="256"/>
        <v>0</v>
      </c>
      <c r="BE210">
        <f t="shared" si="257"/>
        <v>0</v>
      </c>
      <c r="BF210">
        <f t="shared" si="258"/>
        <v>0</v>
      </c>
      <c r="BG210">
        <f t="shared" si="259"/>
        <v>0</v>
      </c>
      <c r="BH210">
        <f t="shared" si="260"/>
        <v>0</v>
      </c>
      <c r="BI210">
        <f t="shared" si="261"/>
        <v>0</v>
      </c>
      <c r="BJ210">
        <f t="shared" si="262"/>
        <v>0</v>
      </c>
      <c r="BK210">
        <f t="shared" si="263"/>
        <v>0</v>
      </c>
      <c r="BL210">
        <f t="shared" ca="1" si="264"/>
        <v>18.114874999999973</v>
      </c>
      <c r="BM210">
        <f t="shared" ca="1" si="265"/>
        <v>18.114874999999973</v>
      </c>
      <c r="BN210">
        <f t="shared" ca="1" si="266"/>
        <v>18.114874999999973</v>
      </c>
      <c r="BO210">
        <f t="shared" ca="1" si="267"/>
        <v>18.114874999999973</v>
      </c>
      <c r="BP210">
        <f t="shared" ca="1" si="273"/>
        <v>18.114874999999973</v>
      </c>
      <c r="BQ210">
        <f t="shared" ca="1" si="268"/>
        <v>18.114874999999973</v>
      </c>
      <c r="BR210">
        <f t="shared" ca="1" si="269"/>
        <v>18.114874999999973</v>
      </c>
      <c r="BS210">
        <f t="shared" ca="1" si="270"/>
        <v>18.114874999999973</v>
      </c>
      <c r="BT210">
        <f t="shared" ca="1" si="274"/>
        <v>18.114874999999973</v>
      </c>
    </row>
    <row r="211" spans="3:72" x14ac:dyDescent="0.2">
      <c r="C211" t="s">
        <v>936</v>
      </c>
      <c r="D211">
        <f>O66</f>
        <v>16.596</v>
      </c>
      <c r="E211" s="1"/>
      <c r="F211" s="1">
        <f>G872</f>
        <v>19</v>
      </c>
      <c r="G211" s="1">
        <f>G879</f>
        <v>19</v>
      </c>
      <c r="H211" s="1">
        <f>G887</f>
        <v>19</v>
      </c>
      <c r="I211" s="1"/>
      <c r="J211" s="1"/>
      <c r="K211" s="1"/>
      <c r="L211" s="1"/>
      <c r="M211" s="1"/>
      <c r="N211" s="1"/>
      <c r="O211" s="1"/>
      <c r="P211" s="1"/>
      <c r="Q211" s="1"/>
      <c r="S211" s="1"/>
      <c r="T211" s="1"/>
      <c r="U211" s="1">
        <f t="shared" ref="U211:AC211" ca="1" si="276">OFFSET($G$2829,X115,0)+OFFSET($G$2830,X115,0)+OFFSET($G$2831,X115,0)</f>
        <v>18.488139903610698</v>
      </c>
      <c r="V211" s="1">
        <f t="shared" ca="1" si="276"/>
        <v>18.750671694611533</v>
      </c>
      <c r="W211" s="1">
        <f t="shared" ca="1" si="276"/>
        <v>18.74038190961106</v>
      </c>
      <c r="X211" s="1">
        <f t="shared" ca="1" si="276"/>
        <v>18.30558542843325</v>
      </c>
      <c r="Y211" s="1">
        <f t="shared" ca="1" si="276"/>
        <v>18.730209013789388</v>
      </c>
      <c r="Z211" s="1">
        <f t="shared" ca="1" si="276"/>
        <v>18.242067382988999</v>
      </c>
      <c r="AA211" s="1">
        <f t="shared" ca="1" si="276"/>
        <v>18.476852643439628</v>
      </c>
      <c r="AB211" s="1">
        <f t="shared" ca="1" si="276"/>
        <v>18.729961319907897</v>
      </c>
      <c r="AC211" s="1">
        <f t="shared" ca="1" si="276"/>
        <v>18.476852643439631</v>
      </c>
      <c r="AT211" t="str">
        <f t="shared" si="272"/>
        <v>Hydro storage</v>
      </c>
      <c r="AU211">
        <f t="shared" si="247"/>
        <v>16.596</v>
      </c>
      <c r="AV211">
        <f t="shared" si="248"/>
        <v>0</v>
      </c>
      <c r="AW211">
        <f t="shared" si="249"/>
        <v>19</v>
      </c>
      <c r="AX211">
        <f t="shared" si="250"/>
        <v>19</v>
      </c>
      <c r="AY211">
        <f t="shared" si="251"/>
        <v>19</v>
      </c>
      <c r="AZ211">
        <f t="shared" si="252"/>
        <v>0</v>
      </c>
      <c r="BA211">
        <f t="shared" si="253"/>
        <v>0</v>
      </c>
      <c r="BB211">
        <f t="shared" si="254"/>
        <v>0</v>
      </c>
      <c r="BC211">
        <f t="shared" si="255"/>
        <v>0</v>
      </c>
      <c r="BD211">
        <f t="shared" si="256"/>
        <v>0</v>
      </c>
      <c r="BE211">
        <f t="shared" si="257"/>
        <v>0</v>
      </c>
      <c r="BF211">
        <f t="shared" si="258"/>
        <v>0</v>
      </c>
      <c r="BG211">
        <f t="shared" si="259"/>
        <v>0</v>
      </c>
      <c r="BH211">
        <f t="shared" si="260"/>
        <v>0</v>
      </c>
      <c r="BI211">
        <f t="shared" si="261"/>
        <v>0</v>
      </c>
      <c r="BJ211">
        <f t="shared" si="262"/>
        <v>0</v>
      </c>
      <c r="BK211">
        <f t="shared" si="263"/>
        <v>0</v>
      </c>
      <c r="BL211">
        <f t="shared" ca="1" si="264"/>
        <v>18.488139903610698</v>
      </c>
      <c r="BM211">
        <f t="shared" ca="1" si="265"/>
        <v>18.30558542843325</v>
      </c>
      <c r="BN211">
        <f t="shared" ca="1" si="266"/>
        <v>18.476852643439628</v>
      </c>
      <c r="BO211">
        <f t="shared" ca="1" si="267"/>
        <v>18.750671694611533</v>
      </c>
      <c r="BP211">
        <f t="shared" ca="1" si="273"/>
        <v>18.730209013789388</v>
      </c>
      <c r="BQ211">
        <f t="shared" ca="1" si="268"/>
        <v>18.729961319907897</v>
      </c>
      <c r="BR211">
        <f t="shared" ca="1" si="269"/>
        <v>18.74038190961106</v>
      </c>
      <c r="BS211">
        <f t="shared" ca="1" si="270"/>
        <v>18.242067382988999</v>
      </c>
      <c r="BT211">
        <f t="shared" ca="1" si="274"/>
        <v>18.476852643439631</v>
      </c>
    </row>
    <row r="212" spans="3:72" x14ac:dyDescent="0.2">
      <c r="C212" t="s">
        <v>935</v>
      </c>
      <c r="D212">
        <f>O62</f>
        <v>25.56</v>
      </c>
      <c r="E212" s="1">
        <f>G686</f>
        <v>25</v>
      </c>
      <c r="F212" s="1">
        <f>G871</f>
        <v>22</v>
      </c>
      <c r="G212" s="1">
        <f>G871</f>
        <v>22</v>
      </c>
      <c r="H212" s="1">
        <f>G871</f>
        <v>22</v>
      </c>
      <c r="I212" s="1">
        <f t="shared" ref="I212:P212" ca="1" si="277">OFFSET($G$1549,I115,0)</f>
        <v>21.68</v>
      </c>
      <c r="J212" s="1">
        <f t="shared" ca="1" si="277"/>
        <v>21.68</v>
      </c>
      <c r="K212" s="1">
        <f t="shared" ca="1" si="277"/>
        <v>21.68</v>
      </c>
      <c r="L212" s="1">
        <f t="shared" ca="1" si="277"/>
        <v>21.68</v>
      </c>
      <c r="M212" s="1">
        <f t="shared" ca="1" si="277"/>
        <v>21.68</v>
      </c>
      <c r="N212" s="1">
        <f t="shared" ca="1" si="277"/>
        <v>21.68</v>
      </c>
      <c r="O212" s="1">
        <f t="shared" ca="1" si="277"/>
        <v>21.68</v>
      </c>
      <c r="P212" s="1">
        <f t="shared" ca="1" si="277"/>
        <v>21.68</v>
      </c>
      <c r="Q212" s="1">
        <f>G1017</f>
        <v>21.7</v>
      </c>
      <c r="R212" s="162">
        <f>G1121</f>
        <v>16</v>
      </c>
      <c r="S212" s="1">
        <f>G3112</f>
        <v>23.583222222222219</v>
      </c>
      <c r="T212" s="1">
        <f>G3135</f>
        <v>23.583222222222219</v>
      </c>
      <c r="U212" s="1">
        <f t="shared" ref="U212:AC212" ca="1" si="278">OFFSET($G$2821,X115,0)</f>
        <v>22.834200000000028</v>
      </c>
      <c r="V212" s="1">
        <f t="shared" ca="1" si="278"/>
        <v>22.834200000000028</v>
      </c>
      <c r="W212" s="1">
        <f t="shared" ca="1" si="278"/>
        <v>22.834200000000028</v>
      </c>
      <c r="X212" s="1">
        <f t="shared" ca="1" si="278"/>
        <v>22.834200000000028</v>
      </c>
      <c r="Y212" s="1">
        <f t="shared" ca="1" si="278"/>
        <v>22.834200000000028</v>
      </c>
      <c r="Z212" s="1">
        <f t="shared" ca="1" si="278"/>
        <v>22.834200000000028</v>
      </c>
      <c r="AA212" s="1">
        <f t="shared" ca="1" si="278"/>
        <v>22.834200000000028</v>
      </c>
      <c r="AB212" s="1">
        <f t="shared" ca="1" si="278"/>
        <v>22.834200000000028</v>
      </c>
      <c r="AC212" s="1">
        <f t="shared" ca="1" si="278"/>
        <v>22.834200000000028</v>
      </c>
      <c r="AT212" t="str">
        <f t="shared" si="272"/>
        <v>Nuclear</v>
      </c>
      <c r="AU212">
        <f t="shared" si="247"/>
        <v>25.56</v>
      </c>
      <c r="AV212">
        <f t="shared" si="248"/>
        <v>25</v>
      </c>
      <c r="AW212">
        <f t="shared" si="249"/>
        <v>22</v>
      </c>
      <c r="AX212">
        <f t="shared" si="250"/>
        <v>22</v>
      </c>
      <c r="AY212">
        <f t="shared" si="251"/>
        <v>22</v>
      </c>
      <c r="AZ212">
        <f t="shared" ca="1" si="252"/>
        <v>21.68</v>
      </c>
      <c r="BA212">
        <f t="shared" ca="1" si="253"/>
        <v>21.68</v>
      </c>
      <c r="BB212">
        <f t="shared" ca="1" si="254"/>
        <v>21.68</v>
      </c>
      <c r="BC212">
        <f t="shared" ca="1" si="255"/>
        <v>21.68</v>
      </c>
      <c r="BD212">
        <f t="shared" ca="1" si="256"/>
        <v>21.68</v>
      </c>
      <c r="BE212">
        <f t="shared" ca="1" si="257"/>
        <v>21.68</v>
      </c>
      <c r="BF212">
        <f t="shared" ca="1" si="258"/>
        <v>21.68</v>
      </c>
      <c r="BG212">
        <f t="shared" ca="1" si="259"/>
        <v>21.68</v>
      </c>
      <c r="BH212">
        <f t="shared" si="260"/>
        <v>21.7</v>
      </c>
      <c r="BI212">
        <f t="shared" si="261"/>
        <v>16</v>
      </c>
      <c r="BJ212">
        <f t="shared" si="262"/>
        <v>23.583222222222219</v>
      </c>
      <c r="BK212">
        <f t="shared" si="263"/>
        <v>23.583222222222219</v>
      </c>
      <c r="BL212">
        <f t="shared" ca="1" si="264"/>
        <v>22.834200000000028</v>
      </c>
      <c r="BM212">
        <f t="shared" ca="1" si="265"/>
        <v>22.834200000000028</v>
      </c>
      <c r="BN212">
        <f t="shared" ca="1" si="266"/>
        <v>22.834200000000028</v>
      </c>
      <c r="BO212">
        <f t="shared" ca="1" si="267"/>
        <v>22.834200000000028</v>
      </c>
      <c r="BP212">
        <f t="shared" ca="1" si="273"/>
        <v>22.834200000000028</v>
      </c>
      <c r="BQ212">
        <f t="shared" ca="1" si="268"/>
        <v>22.834200000000028</v>
      </c>
      <c r="BR212">
        <f t="shared" ca="1" si="269"/>
        <v>22.834200000000028</v>
      </c>
      <c r="BS212">
        <f t="shared" ca="1" si="270"/>
        <v>22.834200000000028</v>
      </c>
      <c r="BT212">
        <f t="shared" ca="1" si="274"/>
        <v>22.834200000000028</v>
      </c>
    </row>
    <row r="213" spans="3:72" x14ac:dyDescent="0.2">
      <c r="C213" t="s">
        <v>7</v>
      </c>
      <c r="D213" s="25">
        <f>O74</f>
        <v>0.14910000000000001</v>
      </c>
      <c r="E213" s="1">
        <f>G690</f>
        <v>1.4</v>
      </c>
      <c r="F213" s="1">
        <f>G876</f>
        <v>0.4</v>
      </c>
      <c r="G213" s="1">
        <f>G883</f>
        <v>0.64</v>
      </c>
      <c r="H213" s="1">
        <f>G891</f>
        <v>0.88000000000000012</v>
      </c>
      <c r="I213" s="1">
        <f t="shared" ref="I213:P213" ca="1" si="279">OFFSET($G$1557,I115,0)</f>
        <v>0.34</v>
      </c>
      <c r="J213" s="1">
        <f t="shared" ca="1" si="279"/>
        <v>0.52</v>
      </c>
      <c r="K213" s="1">
        <f t="shared" ca="1" si="279"/>
        <v>0.34</v>
      </c>
      <c r="L213" s="1">
        <f t="shared" ca="1" si="279"/>
        <v>0.52</v>
      </c>
      <c r="M213" s="1">
        <f t="shared" ca="1" si="279"/>
        <v>0.52</v>
      </c>
      <c r="N213" s="1">
        <f t="shared" ca="1" si="279"/>
        <v>0.34</v>
      </c>
      <c r="O213" s="1">
        <f t="shared" ca="1" si="279"/>
        <v>0.52</v>
      </c>
      <c r="P213" s="1">
        <f t="shared" ca="1" si="279"/>
        <v>0.52</v>
      </c>
      <c r="Q213" s="1">
        <f>G1021</f>
        <v>2.4700000000000002</v>
      </c>
      <c r="R213" s="162">
        <f>G1126</f>
        <v>3.3</v>
      </c>
      <c r="S213" s="1">
        <f>G3117</f>
        <v>6.2333333333333331E-2</v>
      </c>
      <c r="T213" s="1">
        <f>G3140</f>
        <v>6.2333333333333331E-2</v>
      </c>
      <c r="U213" s="1">
        <f t="shared" ref="U213:AC213" ca="1" si="280">OFFSET($G$2824,X115,0)</f>
        <v>2.597907612238497E-2</v>
      </c>
      <c r="V213" s="1">
        <f t="shared" ca="1" si="280"/>
        <v>2.597907612238497E-2</v>
      </c>
      <c r="W213" s="1">
        <f t="shared" ca="1" si="280"/>
        <v>2.597907612238497E-2</v>
      </c>
      <c r="X213" s="1">
        <f t="shared" ca="1" si="280"/>
        <v>2.597907612238497E-2</v>
      </c>
      <c r="Y213" s="1">
        <f t="shared" ca="1" si="280"/>
        <v>2.597907612238497E-2</v>
      </c>
      <c r="Z213" s="1">
        <f t="shared" ca="1" si="280"/>
        <v>2.597907612238497E-2</v>
      </c>
      <c r="AA213" s="1">
        <f t="shared" ca="1" si="280"/>
        <v>2.597907612238497E-2</v>
      </c>
      <c r="AB213" s="1">
        <f t="shared" ca="1" si="280"/>
        <v>2.597907612238497E-2</v>
      </c>
      <c r="AC213" s="1">
        <f t="shared" ca="1" si="280"/>
        <v>2.597907612238497E-2</v>
      </c>
      <c r="AT213" t="str">
        <f t="shared" si="272"/>
        <v>PV</v>
      </c>
      <c r="AU213">
        <f t="shared" si="247"/>
        <v>0.14910000000000001</v>
      </c>
      <c r="AV213">
        <f t="shared" si="248"/>
        <v>1.4</v>
      </c>
      <c r="AW213">
        <f t="shared" si="249"/>
        <v>0.4</v>
      </c>
      <c r="AX213">
        <f t="shared" si="250"/>
        <v>0.64</v>
      </c>
      <c r="AY213">
        <f t="shared" si="251"/>
        <v>0.88000000000000012</v>
      </c>
      <c r="AZ213">
        <f t="shared" ca="1" si="252"/>
        <v>0.34</v>
      </c>
      <c r="BA213">
        <f t="shared" ca="1" si="253"/>
        <v>0.34</v>
      </c>
      <c r="BB213">
        <f t="shared" ca="1" si="254"/>
        <v>0.34</v>
      </c>
      <c r="BC213">
        <f t="shared" ca="1" si="255"/>
        <v>0.52</v>
      </c>
      <c r="BD213">
        <f t="shared" ca="1" si="256"/>
        <v>0.52</v>
      </c>
      <c r="BE213">
        <f t="shared" ca="1" si="257"/>
        <v>0.52</v>
      </c>
      <c r="BF213">
        <f t="shared" ca="1" si="258"/>
        <v>0.52</v>
      </c>
      <c r="BG213">
        <f t="shared" ca="1" si="259"/>
        <v>0.52</v>
      </c>
      <c r="BH213">
        <f t="shared" si="260"/>
        <v>2.4700000000000002</v>
      </c>
      <c r="BI213">
        <f t="shared" si="261"/>
        <v>3.3</v>
      </c>
      <c r="BJ213">
        <f t="shared" si="262"/>
        <v>6.2333333333333331E-2</v>
      </c>
      <c r="BK213">
        <f t="shared" si="263"/>
        <v>6.2333333333333331E-2</v>
      </c>
      <c r="BL213">
        <f t="shared" ca="1" si="264"/>
        <v>2.597907612238497E-2</v>
      </c>
      <c r="BM213">
        <f t="shared" ca="1" si="265"/>
        <v>2.597907612238497E-2</v>
      </c>
      <c r="BN213">
        <f t="shared" ca="1" si="266"/>
        <v>2.597907612238497E-2</v>
      </c>
      <c r="BO213">
        <f t="shared" ca="1" si="267"/>
        <v>2.597907612238497E-2</v>
      </c>
      <c r="BP213">
        <f t="shared" ca="1" si="273"/>
        <v>2.597907612238497E-2</v>
      </c>
      <c r="BQ213">
        <f t="shared" ca="1" si="268"/>
        <v>2.597907612238497E-2</v>
      </c>
      <c r="BR213">
        <f t="shared" ca="1" si="269"/>
        <v>2.597907612238497E-2</v>
      </c>
      <c r="BS213">
        <f t="shared" ca="1" si="270"/>
        <v>2.597907612238497E-2</v>
      </c>
      <c r="BT213">
        <f t="shared" ca="1" si="274"/>
        <v>2.597907612238497E-2</v>
      </c>
    </row>
    <row r="214" spans="3:72" x14ac:dyDescent="0.2">
      <c r="C214" t="s">
        <v>8</v>
      </c>
      <c r="D214" s="25">
        <f>O75</f>
        <v>7.0099999999999996E-2</v>
      </c>
      <c r="E214" s="1">
        <f>G691</f>
        <v>0.6</v>
      </c>
      <c r="F214" s="1">
        <f>G875</f>
        <v>0.32</v>
      </c>
      <c r="G214" s="1">
        <f>G882</f>
        <v>0.48000000000000009</v>
      </c>
      <c r="H214" s="1">
        <f>G890</f>
        <v>0.64000000000000012</v>
      </c>
      <c r="I214" s="1">
        <f t="shared" ref="I214:P214" ca="1" si="281">OFFSET($G$1558,I115,0)</f>
        <v>0.14000000000000001</v>
      </c>
      <c r="J214" s="1">
        <f t="shared" ca="1" si="281"/>
        <v>0.66</v>
      </c>
      <c r="K214" s="1">
        <f t="shared" ca="1" si="281"/>
        <v>0.14000000000000001</v>
      </c>
      <c r="L214" s="1">
        <f t="shared" ca="1" si="281"/>
        <v>0.66</v>
      </c>
      <c r="M214" s="1">
        <f t="shared" ca="1" si="281"/>
        <v>0.66</v>
      </c>
      <c r="N214" s="1">
        <f t="shared" ca="1" si="281"/>
        <v>0.14000000000000001</v>
      </c>
      <c r="O214" s="1">
        <f t="shared" ca="1" si="281"/>
        <v>0.66</v>
      </c>
      <c r="P214" s="1">
        <f t="shared" ca="1" si="281"/>
        <v>0.66</v>
      </c>
      <c r="Q214" s="1">
        <f>G1022</f>
        <v>0.54</v>
      </c>
      <c r="R214" s="162">
        <f>G1125</f>
        <v>0.7</v>
      </c>
      <c r="S214" s="1">
        <f>G3116</f>
        <v>1.8333333333333333E-2</v>
      </c>
      <c r="T214" s="1">
        <f>G3139</f>
        <v>3.0634444444444435</v>
      </c>
      <c r="U214" s="1">
        <f t="shared" ref="U214:AC214" ca="1" si="282">OFFSET($G$2825,X115,0)</f>
        <v>8.1675807349621942E-3</v>
      </c>
      <c r="V214" s="1">
        <f t="shared" ca="1" si="282"/>
        <v>5.7969086030945277E-2</v>
      </c>
      <c r="W214" s="1">
        <f t="shared" ca="1" si="282"/>
        <v>8.1675807349621942E-3</v>
      </c>
      <c r="X214" s="1">
        <f t="shared" ca="1" si="282"/>
        <v>8.1675807349621942E-3</v>
      </c>
      <c r="Y214" s="1">
        <f t="shared" ca="1" si="282"/>
        <v>8.1675807349621942E-3</v>
      </c>
      <c r="Z214" s="1">
        <f t="shared" ca="1" si="282"/>
        <v>8.1675807349621942E-3</v>
      </c>
      <c r="AA214" s="1">
        <f t="shared" ca="1" si="282"/>
        <v>8.1675807349621942E-3</v>
      </c>
      <c r="AB214" s="1">
        <f t="shared" ca="1" si="282"/>
        <v>8.1675807349621942E-3</v>
      </c>
      <c r="AC214" s="1">
        <f t="shared" ca="1" si="282"/>
        <v>8.1675807349621942E-3</v>
      </c>
      <c r="AT214" t="str">
        <f t="shared" si="272"/>
        <v>Wind</v>
      </c>
      <c r="AU214">
        <f t="shared" si="247"/>
        <v>7.0099999999999996E-2</v>
      </c>
      <c r="AV214">
        <f t="shared" si="248"/>
        <v>0.6</v>
      </c>
      <c r="AW214">
        <f t="shared" si="249"/>
        <v>0.32</v>
      </c>
      <c r="AX214">
        <f t="shared" si="250"/>
        <v>0.48000000000000009</v>
      </c>
      <c r="AY214">
        <f t="shared" si="251"/>
        <v>0.64000000000000012</v>
      </c>
      <c r="AZ214">
        <f t="shared" ca="1" si="252"/>
        <v>0.14000000000000001</v>
      </c>
      <c r="BA214">
        <f t="shared" ca="1" si="253"/>
        <v>0.14000000000000001</v>
      </c>
      <c r="BB214">
        <f t="shared" ca="1" si="254"/>
        <v>0.14000000000000001</v>
      </c>
      <c r="BC214">
        <f t="shared" ca="1" si="255"/>
        <v>0.66</v>
      </c>
      <c r="BD214">
        <f t="shared" ca="1" si="256"/>
        <v>0.66</v>
      </c>
      <c r="BE214">
        <f t="shared" ca="1" si="257"/>
        <v>0.66</v>
      </c>
      <c r="BF214">
        <f t="shared" ca="1" si="258"/>
        <v>0.66</v>
      </c>
      <c r="BG214">
        <f t="shared" ca="1" si="259"/>
        <v>0.66</v>
      </c>
      <c r="BH214">
        <f t="shared" si="260"/>
        <v>0.54</v>
      </c>
      <c r="BI214">
        <f t="shared" si="261"/>
        <v>0.7</v>
      </c>
      <c r="BJ214">
        <f t="shared" si="262"/>
        <v>1.8333333333333333E-2</v>
      </c>
      <c r="BK214">
        <f t="shared" si="263"/>
        <v>3.0634444444444435</v>
      </c>
      <c r="BL214">
        <f t="shared" ca="1" si="264"/>
        <v>8.1675807349621942E-3</v>
      </c>
      <c r="BM214">
        <f t="shared" ca="1" si="265"/>
        <v>8.1675807349621942E-3</v>
      </c>
      <c r="BN214">
        <f t="shared" ca="1" si="266"/>
        <v>8.1675807349621942E-3</v>
      </c>
      <c r="BO214">
        <f t="shared" ca="1" si="267"/>
        <v>5.7969086030945277E-2</v>
      </c>
      <c r="BP214">
        <f t="shared" ca="1" si="273"/>
        <v>8.1675807349621942E-3</v>
      </c>
      <c r="BQ214">
        <f t="shared" ca="1" si="268"/>
        <v>8.1675807349621942E-3</v>
      </c>
      <c r="BR214">
        <f t="shared" ca="1" si="269"/>
        <v>8.1675807349621942E-3</v>
      </c>
      <c r="BS214">
        <f t="shared" ca="1" si="270"/>
        <v>8.1675807349621942E-3</v>
      </c>
      <c r="BT214">
        <f t="shared" ca="1" si="274"/>
        <v>8.1675807349621942E-3</v>
      </c>
    </row>
    <row r="215" spans="3:72" x14ac:dyDescent="0.2">
      <c r="C215" t="s">
        <v>937</v>
      </c>
      <c r="E215" s="1"/>
      <c r="F215" s="1">
        <f>G874</f>
        <v>2.46</v>
      </c>
      <c r="G215" s="1">
        <f>G881</f>
        <v>2.9399999999999995</v>
      </c>
      <c r="H215" s="1">
        <f>G889</f>
        <v>3.3</v>
      </c>
      <c r="I215" s="1"/>
      <c r="J215" s="1"/>
      <c r="K215" s="1"/>
      <c r="L215" s="1"/>
      <c r="M215" s="1"/>
      <c r="N215" s="1"/>
      <c r="O215" s="1"/>
      <c r="P215" s="1"/>
      <c r="Q215" s="1"/>
      <c r="R215" s="18"/>
      <c r="U215" s="1"/>
      <c r="V215" s="1"/>
      <c r="W215" s="1"/>
      <c r="X215" s="1"/>
      <c r="Y215" s="1"/>
      <c r="Z215" s="1"/>
      <c r="AA215" s="1"/>
      <c r="AB215" s="1"/>
      <c r="AC215" s="1"/>
      <c r="AT215" t="str">
        <f t="shared" si="272"/>
        <v>Biomass+Geo</v>
      </c>
      <c r="AU215">
        <f t="shared" si="247"/>
        <v>0</v>
      </c>
      <c r="AV215">
        <f t="shared" si="248"/>
        <v>0</v>
      </c>
      <c r="AW215">
        <f t="shared" si="249"/>
        <v>2.46</v>
      </c>
      <c r="AX215">
        <f t="shared" si="250"/>
        <v>2.9399999999999995</v>
      </c>
      <c r="AY215">
        <f t="shared" si="251"/>
        <v>3.3</v>
      </c>
      <c r="AZ215">
        <f t="shared" si="252"/>
        <v>0</v>
      </c>
      <c r="BA215">
        <f t="shared" si="253"/>
        <v>0</v>
      </c>
      <c r="BB215">
        <f t="shared" si="254"/>
        <v>0</v>
      </c>
      <c r="BC215">
        <f t="shared" si="255"/>
        <v>0</v>
      </c>
      <c r="BD215">
        <f t="shared" si="256"/>
        <v>0</v>
      </c>
      <c r="BE215">
        <f t="shared" si="257"/>
        <v>0</v>
      </c>
      <c r="BF215">
        <f t="shared" si="258"/>
        <v>0</v>
      </c>
      <c r="BG215">
        <f t="shared" si="259"/>
        <v>0</v>
      </c>
      <c r="BH215">
        <f t="shared" si="260"/>
        <v>0</v>
      </c>
      <c r="BI215">
        <f t="shared" si="261"/>
        <v>0</v>
      </c>
      <c r="BJ215">
        <f t="shared" si="262"/>
        <v>0</v>
      </c>
      <c r="BK215">
        <f t="shared" si="263"/>
        <v>0</v>
      </c>
      <c r="BL215">
        <f t="shared" si="264"/>
        <v>0</v>
      </c>
      <c r="BM215">
        <f t="shared" si="265"/>
        <v>0</v>
      </c>
      <c r="BN215">
        <f t="shared" si="266"/>
        <v>0</v>
      </c>
      <c r="BO215">
        <f t="shared" si="267"/>
        <v>0</v>
      </c>
      <c r="BP215">
        <f t="shared" si="273"/>
        <v>0</v>
      </c>
      <c r="BQ215">
        <f t="shared" si="268"/>
        <v>0</v>
      </c>
      <c r="BR215">
        <f t="shared" si="269"/>
        <v>0</v>
      </c>
      <c r="BS215">
        <f t="shared" si="270"/>
        <v>0</v>
      </c>
      <c r="BT215">
        <f t="shared" si="274"/>
        <v>0</v>
      </c>
    </row>
    <row r="216" spans="3:72" x14ac:dyDescent="0.2">
      <c r="C216" t="s">
        <v>960</v>
      </c>
      <c r="D216">
        <v>0</v>
      </c>
      <c r="E216" s="1">
        <f>G692</f>
        <v>0</v>
      </c>
      <c r="F216" s="1"/>
      <c r="G216" s="1"/>
      <c r="H216" s="1"/>
      <c r="I216" s="1">
        <f t="shared" ref="I216:P216" ca="1" si="283">OFFSET($G$1560,I115,0)</f>
        <v>0.1</v>
      </c>
      <c r="J216" s="1">
        <f t="shared" ca="1" si="283"/>
        <v>0.2</v>
      </c>
      <c r="K216" s="1">
        <f t="shared" ca="1" si="283"/>
        <v>0.1</v>
      </c>
      <c r="L216" s="1">
        <f t="shared" ca="1" si="283"/>
        <v>0.2</v>
      </c>
      <c r="M216" s="1">
        <f t="shared" ca="1" si="283"/>
        <v>0.2</v>
      </c>
      <c r="N216" s="1">
        <f t="shared" ca="1" si="283"/>
        <v>0.1</v>
      </c>
      <c r="O216" s="1">
        <f t="shared" ca="1" si="283"/>
        <v>0.2</v>
      </c>
      <c r="P216" s="1">
        <f t="shared" ca="1" si="283"/>
        <v>0.2</v>
      </c>
      <c r="Q216" s="1">
        <f>G1027</f>
        <v>0</v>
      </c>
      <c r="R216" s="162">
        <f>G1128</f>
        <v>0.2</v>
      </c>
      <c r="S216" s="1"/>
      <c r="T216" s="1"/>
      <c r="U216" s="1">
        <f t="shared" ref="U216:AC216" ca="1" si="284">OFFSET($G$2823,X115,0)</f>
        <v>0</v>
      </c>
      <c r="V216" s="1">
        <f t="shared" ca="1" si="284"/>
        <v>2.4265599999999998E-2</v>
      </c>
      <c r="W216" s="1">
        <f t="shared" ca="1" si="284"/>
        <v>0</v>
      </c>
      <c r="X216" s="1">
        <f t="shared" ca="1" si="284"/>
        <v>0</v>
      </c>
      <c r="Y216" s="1">
        <f t="shared" ca="1" si="284"/>
        <v>0</v>
      </c>
      <c r="Z216" s="1">
        <f t="shared" ca="1" si="284"/>
        <v>0</v>
      </c>
      <c r="AA216" s="1">
        <f t="shared" ca="1" si="284"/>
        <v>0</v>
      </c>
      <c r="AB216" s="1">
        <f t="shared" ca="1" si="284"/>
        <v>0</v>
      </c>
      <c r="AC216" s="1">
        <f t="shared" ca="1" si="284"/>
        <v>0</v>
      </c>
      <c r="AT216" t="str">
        <f t="shared" si="272"/>
        <v>Geo</v>
      </c>
      <c r="AU216">
        <f t="shared" si="247"/>
        <v>0</v>
      </c>
      <c r="AV216">
        <f t="shared" si="248"/>
        <v>0</v>
      </c>
      <c r="AW216">
        <f t="shared" si="249"/>
        <v>0</v>
      </c>
      <c r="AX216">
        <f t="shared" si="250"/>
        <v>0</v>
      </c>
      <c r="AY216">
        <f t="shared" si="251"/>
        <v>0</v>
      </c>
      <c r="AZ216">
        <f t="shared" ca="1" si="252"/>
        <v>0.1</v>
      </c>
      <c r="BA216">
        <f t="shared" ca="1" si="253"/>
        <v>0.1</v>
      </c>
      <c r="BB216">
        <f t="shared" ca="1" si="254"/>
        <v>0.1</v>
      </c>
      <c r="BC216">
        <f t="shared" ca="1" si="255"/>
        <v>0.2</v>
      </c>
      <c r="BD216">
        <f t="shared" ca="1" si="256"/>
        <v>0.2</v>
      </c>
      <c r="BE216">
        <f t="shared" ca="1" si="257"/>
        <v>0.2</v>
      </c>
      <c r="BF216">
        <f t="shared" ca="1" si="258"/>
        <v>0.2</v>
      </c>
      <c r="BG216">
        <f t="shared" ca="1" si="259"/>
        <v>0.2</v>
      </c>
      <c r="BH216">
        <f t="shared" si="260"/>
        <v>0</v>
      </c>
      <c r="BI216">
        <f t="shared" si="261"/>
        <v>0.2</v>
      </c>
      <c r="BJ216">
        <f t="shared" si="262"/>
        <v>0</v>
      </c>
      <c r="BK216">
        <f t="shared" si="263"/>
        <v>0</v>
      </c>
      <c r="BL216">
        <f t="shared" ca="1" si="264"/>
        <v>0</v>
      </c>
      <c r="BM216">
        <f t="shared" ca="1" si="265"/>
        <v>0</v>
      </c>
      <c r="BN216">
        <f t="shared" ca="1" si="266"/>
        <v>0</v>
      </c>
      <c r="BO216">
        <f t="shared" ca="1" si="267"/>
        <v>2.4265599999999998E-2</v>
      </c>
      <c r="BP216">
        <f t="shared" ca="1" si="273"/>
        <v>0</v>
      </c>
      <c r="BQ216">
        <f t="shared" ca="1" si="268"/>
        <v>0</v>
      </c>
      <c r="BR216">
        <f t="shared" ca="1" si="269"/>
        <v>0</v>
      </c>
      <c r="BS216">
        <f t="shared" ca="1" si="270"/>
        <v>0</v>
      </c>
      <c r="BT216">
        <f t="shared" ca="1" si="274"/>
        <v>0</v>
      </c>
    </row>
    <row r="217" spans="3:72" x14ac:dyDescent="0.2">
      <c r="C217" t="s">
        <v>984</v>
      </c>
      <c r="D217" s="25">
        <f>O73</f>
        <v>1.3879999999999999</v>
      </c>
      <c r="E217" s="1">
        <f>G693</f>
        <v>1.5</v>
      </c>
      <c r="F217" s="1"/>
      <c r="G217" s="1"/>
      <c r="H217" s="1"/>
      <c r="I217" s="1">
        <f ca="1">SUM(OFFSET($G$1559,I115,0):OFFSET($G$1565,I115,0))-I216</f>
        <v>1.7799999999999998</v>
      </c>
      <c r="J217" s="1">
        <f ca="1">SUM(OFFSET($G$1559,J115,0):OFFSET($G$1565,J115,0))-J216</f>
        <v>2.3199999999999998</v>
      </c>
      <c r="K217" s="1">
        <f ca="1">SUM(OFFSET($G$1559,K115,0):OFFSET($G$1565,K115,0))-K216</f>
        <v>1.7799999999999998</v>
      </c>
      <c r="L217" s="1">
        <f ca="1">SUM(OFFSET($G$1559,L115,0):OFFSET($G$1565,L115,0))-L216</f>
        <v>2.3199999999999998</v>
      </c>
      <c r="M217" s="1">
        <f ca="1">SUM(OFFSET($G$1559,M115,0):OFFSET($G$1565,M115,0))-M216</f>
        <v>2.3199999999999998</v>
      </c>
      <c r="N217" s="1">
        <f ca="1">SUM(OFFSET($G$1559,N115,0):OFFSET($G$1565,N115,0))-N216</f>
        <v>1.7799999999999998</v>
      </c>
      <c r="O217" s="1">
        <f ca="1">SUM(OFFSET($G$1559,O115,0):OFFSET($G$1565,O115,0))-O216</f>
        <v>2.3199999999999998</v>
      </c>
      <c r="P217" s="1">
        <f ca="1">SUM(OFFSET($G$1559,P115,0):OFFSET($G$1565,P115,0))-P216</f>
        <v>2.3199999999999998</v>
      </c>
      <c r="Q217" s="1">
        <f>G1024+G1025+G1026</f>
        <v>3.19</v>
      </c>
      <c r="R217" s="18">
        <f>G1127+G1122</f>
        <v>2.9</v>
      </c>
      <c r="S217" s="1">
        <f>G3115</f>
        <v>9.6388888888888878E-3</v>
      </c>
      <c r="T217" s="1">
        <f>G3138</f>
        <v>0.31374999999999997</v>
      </c>
      <c r="U217" s="1">
        <f t="shared" ref="U217:AC217" ca="1" si="285">OFFSET($G$2826,X115,0)+OFFSET($G$2827,X115,0)</f>
        <v>2.2070629981865055</v>
      </c>
      <c r="V217" s="1">
        <f t="shared" ca="1" si="285"/>
        <v>2.2070629981865055</v>
      </c>
      <c r="W217" s="1">
        <f t="shared" ca="1" si="285"/>
        <v>2.2070629981865055</v>
      </c>
      <c r="X217" s="1">
        <f t="shared" ca="1" si="285"/>
        <v>2.164002863543689</v>
      </c>
      <c r="Y217" s="1">
        <f t="shared" ca="1" si="285"/>
        <v>2.2070629981865055</v>
      </c>
      <c r="Z217" s="1">
        <f t="shared" ca="1" si="285"/>
        <v>2.2070629981865055</v>
      </c>
      <c r="AA217" s="1">
        <f t="shared" ca="1" si="285"/>
        <v>2.2070629981865055</v>
      </c>
      <c r="AB217" s="1">
        <f t="shared" ca="1" si="285"/>
        <v>2.2070629981865055</v>
      </c>
      <c r="AC217" s="1">
        <f t="shared" ca="1" si="285"/>
        <v>2.2070629981865055</v>
      </c>
      <c r="AT217" t="str">
        <f t="shared" si="272"/>
        <v>Biomass</v>
      </c>
      <c r="AU217">
        <f t="shared" si="247"/>
        <v>1.3879999999999999</v>
      </c>
      <c r="AV217">
        <f t="shared" si="248"/>
        <v>1.5</v>
      </c>
      <c r="AW217">
        <f t="shared" si="249"/>
        <v>0</v>
      </c>
      <c r="AX217">
        <f t="shared" si="250"/>
        <v>0</v>
      </c>
      <c r="AY217">
        <f t="shared" si="251"/>
        <v>0</v>
      </c>
      <c r="AZ217">
        <f t="shared" ca="1" si="252"/>
        <v>1.7799999999999998</v>
      </c>
      <c r="BA217">
        <f t="shared" ca="1" si="253"/>
        <v>1.7799999999999998</v>
      </c>
      <c r="BB217">
        <f t="shared" ca="1" si="254"/>
        <v>1.7799999999999998</v>
      </c>
      <c r="BC217">
        <f t="shared" ca="1" si="255"/>
        <v>2.3199999999999998</v>
      </c>
      <c r="BD217">
        <f t="shared" ca="1" si="256"/>
        <v>2.3199999999999998</v>
      </c>
      <c r="BE217">
        <f t="shared" ca="1" si="257"/>
        <v>2.3199999999999998</v>
      </c>
      <c r="BF217">
        <f t="shared" ca="1" si="258"/>
        <v>2.3199999999999998</v>
      </c>
      <c r="BG217">
        <f t="shared" ca="1" si="259"/>
        <v>2.3199999999999998</v>
      </c>
      <c r="BH217">
        <f t="shared" si="260"/>
        <v>3.19</v>
      </c>
      <c r="BI217">
        <f t="shared" si="261"/>
        <v>2.9</v>
      </c>
      <c r="BJ217">
        <f t="shared" si="262"/>
        <v>9.6388888888888878E-3</v>
      </c>
      <c r="BK217">
        <f t="shared" si="263"/>
        <v>0.31374999999999997</v>
      </c>
      <c r="BL217">
        <f t="shared" ca="1" si="264"/>
        <v>2.2070629981865055</v>
      </c>
      <c r="BM217">
        <f t="shared" ca="1" si="265"/>
        <v>2.164002863543689</v>
      </c>
      <c r="BN217">
        <f t="shared" ca="1" si="266"/>
        <v>2.2070629981865055</v>
      </c>
      <c r="BO217">
        <f t="shared" ca="1" si="267"/>
        <v>2.2070629981865055</v>
      </c>
      <c r="BP217">
        <f t="shared" ca="1" si="273"/>
        <v>2.2070629981865055</v>
      </c>
      <c r="BQ217">
        <f t="shared" ca="1" si="268"/>
        <v>2.2070629981865055</v>
      </c>
      <c r="BR217">
        <f t="shared" ca="1" si="269"/>
        <v>2.2070629981865055</v>
      </c>
      <c r="BS217">
        <f t="shared" ca="1" si="270"/>
        <v>2.2070629981865055</v>
      </c>
      <c r="BT217">
        <f t="shared" ca="1" si="274"/>
        <v>2.2070629981865055</v>
      </c>
    </row>
    <row r="218" spans="3:72" x14ac:dyDescent="0.2">
      <c r="C218" t="s">
        <v>959</v>
      </c>
      <c r="E218" s="1">
        <f>G696+G687</f>
        <v>5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8"/>
      <c r="U218" s="1"/>
      <c r="V218" s="1"/>
      <c r="W218" s="1"/>
      <c r="X218" s="1"/>
      <c r="Y218" s="1"/>
      <c r="Z218" s="1"/>
      <c r="AA218" s="1"/>
      <c r="AB218" s="1"/>
      <c r="AC218" s="1"/>
      <c r="AT218" t="str">
        <f t="shared" si="272"/>
        <v>Gas+Net import</v>
      </c>
      <c r="AU218">
        <f t="shared" si="247"/>
        <v>0</v>
      </c>
      <c r="AV218">
        <f t="shared" si="248"/>
        <v>5</v>
      </c>
      <c r="AW218">
        <f t="shared" si="249"/>
        <v>0</v>
      </c>
      <c r="AX218">
        <f t="shared" si="250"/>
        <v>0</v>
      </c>
      <c r="AY218">
        <f t="shared" si="251"/>
        <v>0</v>
      </c>
      <c r="AZ218">
        <f t="shared" si="252"/>
        <v>0</v>
      </c>
      <c r="BA218">
        <f t="shared" si="253"/>
        <v>0</v>
      </c>
      <c r="BB218">
        <f t="shared" si="254"/>
        <v>0</v>
      </c>
      <c r="BC218">
        <f t="shared" si="255"/>
        <v>0</v>
      </c>
      <c r="BD218">
        <f t="shared" si="256"/>
        <v>0</v>
      </c>
      <c r="BE218">
        <f t="shared" si="257"/>
        <v>0</v>
      </c>
      <c r="BF218">
        <f t="shared" si="258"/>
        <v>0</v>
      </c>
      <c r="BG218">
        <f t="shared" si="259"/>
        <v>0</v>
      </c>
      <c r="BH218">
        <f t="shared" si="260"/>
        <v>0</v>
      </c>
      <c r="BI218">
        <f t="shared" si="261"/>
        <v>0</v>
      </c>
      <c r="BJ218">
        <f t="shared" si="262"/>
        <v>0</v>
      </c>
      <c r="BK218">
        <f t="shared" si="263"/>
        <v>0</v>
      </c>
      <c r="BL218">
        <f t="shared" si="264"/>
        <v>0</v>
      </c>
      <c r="BM218">
        <f t="shared" si="265"/>
        <v>0</v>
      </c>
      <c r="BN218">
        <f t="shared" si="266"/>
        <v>0</v>
      </c>
      <c r="BO218">
        <f t="shared" si="267"/>
        <v>0</v>
      </c>
      <c r="BP218">
        <f t="shared" si="273"/>
        <v>0</v>
      </c>
      <c r="BQ218">
        <f t="shared" si="268"/>
        <v>0</v>
      </c>
      <c r="BR218">
        <f t="shared" si="269"/>
        <v>0</v>
      </c>
      <c r="BS218">
        <f t="shared" si="270"/>
        <v>0</v>
      </c>
      <c r="BT218">
        <f t="shared" si="274"/>
        <v>0</v>
      </c>
    </row>
    <row r="219" spans="3:72" x14ac:dyDescent="0.2">
      <c r="C219" t="s">
        <v>971</v>
      </c>
      <c r="D219" s="25">
        <f>O68-O72</f>
        <v>1.9187999999999998</v>
      </c>
      <c r="E219" s="1"/>
      <c r="F219" s="1">
        <f>G877</f>
        <v>6.6666666666666661</v>
      </c>
      <c r="G219" s="1">
        <f>G884</f>
        <v>5.333333333333333</v>
      </c>
      <c r="H219" s="1">
        <f>G892</f>
        <v>2</v>
      </c>
      <c r="I219" s="1">
        <f t="shared" ref="I219:P219" ca="1" si="286">OFFSET($G$1550,I115,0)</f>
        <v>5.57</v>
      </c>
      <c r="J219" s="1">
        <f t="shared" ca="1" si="286"/>
        <v>4.7300000000000004</v>
      </c>
      <c r="K219" s="1">
        <f t="shared" ca="1" si="286"/>
        <v>3.83</v>
      </c>
      <c r="L219" s="1">
        <f t="shared" ca="1" si="286"/>
        <v>3.13</v>
      </c>
      <c r="M219" s="1">
        <f t="shared" ca="1" si="286"/>
        <v>3.13</v>
      </c>
      <c r="N219" s="1">
        <f t="shared" ca="1" si="286"/>
        <v>3.94</v>
      </c>
      <c r="O219" s="1">
        <f t="shared" ca="1" si="286"/>
        <v>3.13</v>
      </c>
      <c r="P219" s="1">
        <f t="shared" ca="1" si="286"/>
        <v>3.13</v>
      </c>
      <c r="Q219" s="1">
        <f>G1023</f>
        <v>3</v>
      </c>
      <c r="R219" s="162">
        <f>G1115</f>
        <v>2.8</v>
      </c>
      <c r="S219" s="1">
        <f>G3110+G3113+G3114</f>
        <v>7.7530277777777776</v>
      </c>
      <c r="T219" s="1">
        <f>G3133+G3136+G3137</f>
        <v>3.4541944444444441</v>
      </c>
      <c r="U219" s="1">
        <f t="shared" ref="U219:AC219" ca="1" si="287">OFFSET($G$2818,X115,0)+OFFSET($G$2819,X115,0)+OFFSET($G$2820,X115,0)+OFFSET($G$2822,X115,0)</f>
        <v>4.1177372017538225</v>
      </c>
      <c r="V219" s="1">
        <f t="shared" ca="1" si="287"/>
        <v>0.54883260700529446</v>
      </c>
      <c r="W219" s="1">
        <f t="shared" ca="1" si="287"/>
        <v>3.8654951957403081</v>
      </c>
      <c r="X219" s="1">
        <f t="shared" ca="1" si="287"/>
        <v>1.2809909162725528</v>
      </c>
      <c r="Y219" s="1">
        <f t="shared" ca="1" si="287"/>
        <v>0.54883260700529446</v>
      </c>
      <c r="Z219" s="1">
        <f t="shared" ca="1" si="287"/>
        <v>1.3014488270768916</v>
      </c>
      <c r="AA219" s="1">
        <f t="shared" ca="1" si="287"/>
        <v>0.91800527072682225</v>
      </c>
      <c r="AB219" s="1">
        <f t="shared" ca="1" si="287"/>
        <v>0.54883260700529446</v>
      </c>
      <c r="AC219" s="1">
        <f t="shared" ca="1" si="287"/>
        <v>0.9180052707268167</v>
      </c>
      <c r="AT219" t="str">
        <f t="shared" si="272"/>
        <v>Gas, Fossils</v>
      </c>
      <c r="AU219">
        <f t="shared" si="247"/>
        <v>1.9187999999999998</v>
      </c>
      <c r="AV219">
        <f t="shared" si="248"/>
        <v>0</v>
      </c>
      <c r="AW219">
        <f t="shared" si="249"/>
        <v>6.6666666666666661</v>
      </c>
      <c r="AX219">
        <f t="shared" si="250"/>
        <v>5.333333333333333</v>
      </c>
      <c r="AY219">
        <f t="shared" si="251"/>
        <v>2</v>
      </c>
      <c r="AZ219">
        <f t="shared" ca="1" si="252"/>
        <v>5.57</v>
      </c>
      <c r="BA219">
        <f t="shared" ca="1" si="253"/>
        <v>3.94</v>
      </c>
      <c r="BB219">
        <f t="shared" ca="1" si="254"/>
        <v>3.83</v>
      </c>
      <c r="BC219">
        <f t="shared" ca="1" si="255"/>
        <v>3.13</v>
      </c>
      <c r="BD219">
        <f t="shared" ca="1" si="256"/>
        <v>3.13</v>
      </c>
      <c r="BE219">
        <f t="shared" ca="1" si="257"/>
        <v>4.7300000000000004</v>
      </c>
      <c r="BF219">
        <f t="shared" ca="1" si="258"/>
        <v>3.13</v>
      </c>
      <c r="BG219">
        <f t="shared" ca="1" si="259"/>
        <v>3.13</v>
      </c>
      <c r="BH219">
        <f t="shared" si="260"/>
        <v>3</v>
      </c>
      <c r="BI219">
        <f t="shared" si="261"/>
        <v>2.8</v>
      </c>
      <c r="BJ219">
        <f t="shared" si="262"/>
        <v>7.7530277777777776</v>
      </c>
      <c r="BK219">
        <f t="shared" si="263"/>
        <v>3.4541944444444441</v>
      </c>
      <c r="BL219">
        <f t="shared" ca="1" si="264"/>
        <v>4.1177372017538225</v>
      </c>
      <c r="BM219">
        <f t="shared" ca="1" si="265"/>
        <v>1.2809909162725528</v>
      </c>
      <c r="BN219">
        <f t="shared" ca="1" si="266"/>
        <v>0.91800527072682225</v>
      </c>
      <c r="BO219">
        <f t="shared" ca="1" si="267"/>
        <v>0.54883260700529446</v>
      </c>
      <c r="BP219">
        <f t="shared" ca="1" si="273"/>
        <v>0.54883260700529446</v>
      </c>
      <c r="BQ219">
        <f t="shared" ca="1" si="268"/>
        <v>0.54883260700529446</v>
      </c>
      <c r="BR219">
        <f t="shared" ca="1" si="269"/>
        <v>3.8654951957403081</v>
      </c>
      <c r="BS219">
        <f t="shared" ca="1" si="270"/>
        <v>1.3014488270768916</v>
      </c>
      <c r="BT219">
        <f t="shared" ca="1" si="274"/>
        <v>0.9180052707268167</v>
      </c>
    </row>
    <row r="220" spans="3:72" x14ac:dyDescent="0.2">
      <c r="C220" s="14" t="s">
        <v>958</v>
      </c>
      <c r="D220" s="14">
        <f>O78-O79</f>
        <v>2.5870000000000033</v>
      </c>
      <c r="E220" s="80"/>
      <c r="F220" s="80">
        <f>G878</f>
        <v>11</v>
      </c>
      <c r="G220" s="80">
        <f>G885</f>
        <v>10</v>
      </c>
      <c r="H220" s="80">
        <f>G893</f>
        <v>8</v>
      </c>
      <c r="I220" s="80">
        <f t="shared" ref="I220:P220" ca="1" si="288">OFFSET($G$1575,I115,0)</f>
        <v>3.41</v>
      </c>
      <c r="J220" s="80">
        <f t="shared" ca="1" si="288"/>
        <v>2.4600000000000009</v>
      </c>
      <c r="K220" s="80">
        <f t="shared" ca="1" si="288"/>
        <v>1.9800000000000004</v>
      </c>
      <c r="L220" s="80">
        <f t="shared" ca="1" si="288"/>
        <v>0.89000000000000057</v>
      </c>
      <c r="M220" s="80">
        <f t="shared" ca="1" si="288"/>
        <v>0.89000000000000057</v>
      </c>
      <c r="N220" s="80">
        <f t="shared" ca="1" si="288"/>
        <v>2.0700000000000003</v>
      </c>
      <c r="O220" s="80">
        <f t="shared" ca="1" si="288"/>
        <v>1.0899999999999999</v>
      </c>
      <c r="P220" s="80">
        <f t="shared" ca="1" si="288"/>
        <v>1.0899999999999999</v>
      </c>
      <c r="Q220" s="80">
        <f>G1018</f>
        <v>0.6</v>
      </c>
      <c r="R220" s="163">
        <f>G1130</f>
        <v>4</v>
      </c>
      <c r="S220" s="80"/>
      <c r="T220" s="80"/>
      <c r="U220" s="80">
        <f t="shared" ref="U220:AC220" ca="1" si="289">OFFSET($G$2834,X115,0)</f>
        <v>2.7355895326763857E-13</v>
      </c>
      <c r="V220" s="80">
        <f t="shared" ca="1" si="289"/>
        <v>3.2323056984381395</v>
      </c>
      <c r="W220" s="80">
        <f t="shared" ca="1" si="289"/>
        <v>0</v>
      </c>
      <c r="X220" s="80">
        <f t="shared" ca="1" si="289"/>
        <v>2.8421709430404007E-14</v>
      </c>
      <c r="Y220" s="80">
        <f t="shared" ca="1" si="289"/>
        <v>0.2644745892472784</v>
      </c>
      <c r="Z220" s="80">
        <f t="shared" ca="1" si="289"/>
        <v>2.7355895326763857E-13</v>
      </c>
      <c r="AA220" s="80">
        <f t="shared" ca="1" si="289"/>
        <v>2.7355895326763857E-13</v>
      </c>
      <c r="AB220" s="80">
        <f t="shared" ca="1" si="289"/>
        <v>0.11606398724030242</v>
      </c>
      <c r="AC220" s="80">
        <f t="shared" ca="1" si="289"/>
        <v>1.1368683772161603E-13</v>
      </c>
      <c r="AT220" t="str">
        <f t="shared" si="272"/>
        <v>Net import</v>
      </c>
      <c r="AU220">
        <f t="shared" si="247"/>
        <v>2.5870000000000033</v>
      </c>
      <c r="AV220">
        <f t="shared" si="248"/>
        <v>0</v>
      </c>
      <c r="AW220">
        <f t="shared" si="249"/>
        <v>11</v>
      </c>
      <c r="AX220">
        <f t="shared" si="250"/>
        <v>10</v>
      </c>
      <c r="AY220">
        <f t="shared" si="251"/>
        <v>8</v>
      </c>
      <c r="AZ220">
        <f t="shared" ca="1" si="252"/>
        <v>3.41</v>
      </c>
      <c r="BA220">
        <f t="shared" ca="1" si="253"/>
        <v>2.0700000000000003</v>
      </c>
      <c r="BB220">
        <f t="shared" ca="1" si="254"/>
        <v>1.9800000000000004</v>
      </c>
      <c r="BC220">
        <f t="shared" ca="1" si="255"/>
        <v>1.0899999999999999</v>
      </c>
      <c r="BD220">
        <f t="shared" ca="1" si="256"/>
        <v>0.89000000000000057</v>
      </c>
      <c r="BE220">
        <f t="shared" ca="1" si="257"/>
        <v>2.4600000000000009</v>
      </c>
      <c r="BF220">
        <f t="shared" ca="1" si="258"/>
        <v>1.0899999999999999</v>
      </c>
      <c r="BG220">
        <f t="shared" ca="1" si="259"/>
        <v>0.89000000000000057</v>
      </c>
      <c r="BH220">
        <f t="shared" si="260"/>
        <v>0.6</v>
      </c>
      <c r="BI220">
        <f t="shared" si="261"/>
        <v>4</v>
      </c>
      <c r="BJ220">
        <f t="shared" si="262"/>
        <v>0</v>
      </c>
      <c r="BK220">
        <f t="shared" si="263"/>
        <v>0</v>
      </c>
      <c r="BL220">
        <f t="shared" ca="1" si="264"/>
        <v>2.7355895326763857E-13</v>
      </c>
      <c r="BM220">
        <f t="shared" ca="1" si="265"/>
        <v>2.8421709430404007E-14</v>
      </c>
      <c r="BN220">
        <f t="shared" ca="1" si="266"/>
        <v>2.7355895326763857E-13</v>
      </c>
      <c r="BO220">
        <f t="shared" ca="1" si="267"/>
        <v>3.2323056984381395</v>
      </c>
      <c r="BP220">
        <f t="shared" ca="1" si="273"/>
        <v>0.2644745892472784</v>
      </c>
      <c r="BQ220">
        <f t="shared" ca="1" si="268"/>
        <v>0.11606398724030242</v>
      </c>
      <c r="BR220">
        <f t="shared" ca="1" si="269"/>
        <v>0</v>
      </c>
      <c r="BS220">
        <f t="shared" ca="1" si="270"/>
        <v>2.7355895326763857E-13</v>
      </c>
      <c r="BT220">
        <f t="shared" ca="1" si="274"/>
        <v>1.1368683772161603E-13</v>
      </c>
    </row>
    <row r="221" spans="3:72" x14ac:dyDescent="0.2">
      <c r="C221" t="s">
        <v>957</v>
      </c>
      <c r="D221" s="4">
        <f>SUM(D209:D220)</f>
        <v>63.001999999999988</v>
      </c>
      <c r="E221" s="4">
        <f t="shared" ref="E221" si="290">SUM(E209:E220)</f>
        <v>70</v>
      </c>
      <c r="F221" s="4">
        <f t="shared" ref="F221" si="291">SUM(F209:F220)</f>
        <v>77.846666666666664</v>
      </c>
      <c r="G221" s="4">
        <f t="shared" ref="G221" si="292">SUM(G209:G220)</f>
        <v>76.393333333333331</v>
      </c>
      <c r="H221" s="4">
        <f t="shared" ref="H221" si="293">SUM(H209:H220)</f>
        <v>72.819999999999993</v>
      </c>
      <c r="I221" s="4">
        <f t="shared" ref="I221" ca="1" si="294">SUM(I209:I220)</f>
        <v>66.960000000000008</v>
      </c>
      <c r="J221" s="4">
        <f t="shared" ref="J221" ca="1" si="295">SUM(J209:J220)</f>
        <v>66.990000000000009</v>
      </c>
      <c r="K221" s="4">
        <f t="shared" ref="K221" ca="1" si="296">SUM(K209:K220)</f>
        <v>63.790000000000006</v>
      </c>
      <c r="L221" s="4">
        <f t="shared" ref="L221" ca="1" si="297">SUM(L209:L220)</f>
        <v>63.820000000000007</v>
      </c>
      <c r="M221" s="4">
        <f t="shared" ref="M221" ca="1" si="298">SUM(M209:M220)</f>
        <v>63.820000000000007</v>
      </c>
      <c r="N221" s="4">
        <f t="shared" ref="N221" ca="1" si="299">SUM(N209:N220)</f>
        <v>63.99</v>
      </c>
      <c r="O221" s="4">
        <f t="shared" ref="O221" ca="1" si="300">SUM(O209:O220)</f>
        <v>64.02000000000001</v>
      </c>
      <c r="P221" s="4">
        <f t="shared" ref="P221" ca="1" si="301">SUM(P209:P220)</f>
        <v>64.02000000000001</v>
      </c>
      <c r="Q221" s="4">
        <f t="shared" ref="Q221" si="302">SUM(Q209:Q220)</f>
        <v>65.88</v>
      </c>
      <c r="R221" s="164">
        <f t="shared" ref="R221" si="303">SUM(R209:R220)</f>
        <v>63.405999999999999</v>
      </c>
      <c r="S221" s="6">
        <f>SUM(V117:V128)</f>
        <v>84.504055555555567</v>
      </c>
      <c r="T221" s="6">
        <f t="shared" ref="T221:AC221" si="304">SUM(W117:W128)</f>
        <v>76.410499999999985</v>
      </c>
      <c r="U221" s="6">
        <f t="shared" ca="1" si="304"/>
        <v>72.915720063806148</v>
      </c>
      <c r="V221" s="6">
        <f t="shared" ca="1" si="304"/>
        <v>72.915720063772739</v>
      </c>
      <c r="W221" s="6">
        <f t="shared" ca="1" si="304"/>
        <v>72.915720063817929</v>
      </c>
      <c r="X221" s="6">
        <f t="shared" ca="1" si="304"/>
        <v>64.401653352455099</v>
      </c>
      <c r="Y221" s="6">
        <f t="shared" ca="1" si="304"/>
        <v>64.401653352418435</v>
      </c>
      <c r="Z221" s="6">
        <f t="shared" ca="1" si="304"/>
        <v>64.401653352475037</v>
      </c>
      <c r="AA221" s="6">
        <f t="shared" ca="1" si="304"/>
        <v>56.817674868853075</v>
      </c>
      <c r="AB221" s="6">
        <f t="shared" ca="1" si="304"/>
        <v>56.817674868833734</v>
      </c>
      <c r="AC221" s="6">
        <f t="shared" ca="1" si="304"/>
        <v>57.987918357277749</v>
      </c>
    </row>
    <row r="222" spans="3:72" x14ac:dyDescent="0.2"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3:72" x14ac:dyDescent="0.2">
      <c r="C223" s="25" t="s">
        <v>953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3:72" x14ac:dyDescent="0.2"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2:36" x14ac:dyDescent="0.2"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2:36" x14ac:dyDescent="0.2"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2:36" x14ac:dyDescent="0.2"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2:36" x14ac:dyDescent="0.2"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2:36" x14ac:dyDescent="0.2">
      <c r="B229" s="99" t="s">
        <v>949</v>
      </c>
      <c r="C229" s="14"/>
      <c r="D229" s="14"/>
      <c r="E229" s="14"/>
      <c r="F229" s="14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2:36" x14ac:dyDescent="0.2">
      <c r="B230" s="102"/>
      <c r="C230" s="29"/>
      <c r="D230" s="29"/>
      <c r="E230" s="29"/>
      <c r="F230" s="29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2:36" x14ac:dyDescent="0.2">
      <c r="B231" s="102"/>
      <c r="C231" s="29"/>
      <c r="D231" s="29"/>
      <c r="E231" s="29"/>
      <c r="F231" s="29"/>
      <c r="G231" s="27"/>
      <c r="H231" s="100" t="s">
        <v>965</v>
      </c>
      <c r="I231" s="116">
        <v>2</v>
      </c>
      <c r="J231" s="116">
        <v>4</v>
      </c>
      <c r="K231" s="116">
        <v>5</v>
      </c>
      <c r="L231" s="116">
        <v>7</v>
      </c>
      <c r="M231" s="116">
        <v>8</v>
      </c>
      <c r="N231" s="116">
        <v>10</v>
      </c>
      <c r="O231" s="116">
        <v>11</v>
      </c>
      <c r="P231" s="117">
        <v>13</v>
      </c>
      <c r="Q231" s="118">
        <v>14</v>
      </c>
      <c r="R231" s="118">
        <v>16</v>
      </c>
      <c r="S231" s="118">
        <v>17</v>
      </c>
      <c r="T231" s="118">
        <v>19</v>
      </c>
      <c r="U231" s="118">
        <v>20</v>
      </c>
      <c r="V231" s="118">
        <v>22</v>
      </c>
      <c r="W231" s="118">
        <v>23</v>
      </c>
      <c r="X231" s="29"/>
      <c r="Y231" s="29"/>
      <c r="Z231" s="118"/>
      <c r="AA231" s="118"/>
      <c r="AB231" s="118"/>
      <c r="AC231" s="118"/>
    </row>
    <row r="232" spans="2:36" ht="15" x14ac:dyDescent="0.25">
      <c r="B232" s="2" t="s">
        <v>1070</v>
      </c>
      <c r="D232" s="29"/>
      <c r="E232" s="29"/>
      <c r="F232" s="29"/>
      <c r="G232" s="115"/>
      <c r="H232" s="13">
        <v>38</v>
      </c>
      <c r="I232" s="13">
        <f>I231*38</f>
        <v>76</v>
      </c>
      <c r="J232" s="13">
        <f t="shared" ref="J232:W232" si="305">J231*38</f>
        <v>152</v>
      </c>
      <c r="K232" s="13">
        <f t="shared" si="305"/>
        <v>190</v>
      </c>
      <c r="L232" s="13">
        <f t="shared" si="305"/>
        <v>266</v>
      </c>
      <c r="M232" s="13">
        <f t="shared" si="305"/>
        <v>304</v>
      </c>
      <c r="N232" s="13">
        <f t="shared" si="305"/>
        <v>380</v>
      </c>
      <c r="O232" s="13">
        <f t="shared" si="305"/>
        <v>418</v>
      </c>
      <c r="P232" s="13">
        <f t="shared" si="305"/>
        <v>494</v>
      </c>
      <c r="Q232" s="13">
        <f t="shared" si="305"/>
        <v>532</v>
      </c>
      <c r="R232" s="13">
        <f t="shared" si="305"/>
        <v>608</v>
      </c>
      <c r="S232" s="13">
        <f t="shared" si="305"/>
        <v>646</v>
      </c>
      <c r="T232" s="13">
        <f t="shared" si="305"/>
        <v>722</v>
      </c>
      <c r="U232" s="13">
        <f t="shared" si="305"/>
        <v>760</v>
      </c>
      <c r="V232" s="13">
        <f t="shared" si="305"/>
        <v>836</v>
      </c>
      <c r="W232" s="13">
        <f t="shared" si="305"/>
        <v>874</v>
      </c>
      <c r="X232" s="27"/>
      <c r="Y232" s="29"/>
      <c r="Z232" s="120">
        <v>20</v>
      </c>
      <c r="AA232" s="120">
        <v>40</v>
      </c>
      <c r="AB232" s="120">
        <v>-43</v>
      </c>
      <c r="AC232" s="120">
        <v>-23</v>
      </c>
      <c r="AD232" s="29">
        <v>83</v>
      </c>
      <c r="AE232">
        <v>103</v>
      </c>
      <c r="AF232" s="67">
        <v>88</v>
      </c>
      <c r="AG232" s="67">
        <v>110</v>
      </c>
      <c r="AH232" s="29"/>
      <c r="AI232" s="29"/>
      <c r="AJ232" s="29"/>
    </row>
    <row r="233" spans="2:36" ht="15" x14ac:dyDescent="0.25">
      <c r="B233" s="13" t="s">
        <v>128</v>
      </c>
      <c r="D233" s="29" t="s">
        <v>1072</v>
      </c>
      <c r="E233" s="29" t="s">
        <v>1073</v>
      </c>
      <c r="F233" s="59" t="s">
        <v>1374</v>
      </c>
      <c r="G233" s="59" t="s">
        <v>1375</v>
      </c>
      <c r="H233" s="50" t="s">
        <v>1076</v>
      </c>
      <c r="I233" s="50" t="s">
        <v>1077</v>
      </c>
      <c r="J233" s="50" t="s">
        <v>1078</v>
      </c>
      <c r="K233" s="50" t="s">
        <v>1079</v>
      </c>
      <c r="L233" s="50" t="s">
        <v>1080</v>
      </c>
      <c r="M233" s="50" t="s">
        <v>1081</v>
      </c>
      <c r="N233" s="50" t="s">
        <v>1082</v>
      </c>
      <c r="O233" s="50" t="s">
        <v>1083</v>
      </c>
      <c r="P233" s="50" t="s">
        <v>1084</v>
      </c>
      <c r="Q233" s="50" t="s">
        <v>1085</v>
      </c>
      <c r="R233" s="50" t="s">
        <v>1086</v>
      </c>
      <c r="S233" s="50" t="s">
        <v>1087</v>
      </c>
      <c r="T233" s="50" t="s">
        <v>1088</v>
      </c>
      <c r="U233" s="50" t="s">
        <v>1089</v>
      </c>
      <c r="V233" s="50" t="s">
        <v>1090</v>
      </c>
      <c r="W233" s="50" t="s">
        <v>1091</v>
      </c>
      <c r="X233" s="119" t="s">
        <v>1074</v>
      </c>
      <c r="Y233" s="119" t="s">
        <v>1075</v>
      </c>
      <c r="Z233" s="50" t="s">
        <v>1227</v>
      </c>
      <c r="AA233" s="50" t="s">
        <v>1226</v>
      </c>
      <c r="AB233" s="50" t="s">
        <v>1225</v>
      </c>
      <c r="AC233" s="50" t="s">
        <v>1224</v>
      </c>
      <c r="AD233" s="50" t="s">
        <v>1234</v>
      </c>
      <c r="AE233" s="50" t="s">
        <v>1233</v>
      </c>
      <c r="AF233" s="50" t="s">
        <v>1376</v>
      </c>
      <c r="AG233" s="50" t="s">
        <v>1377</v>
      </c>
      <c r="AH233" s="29"/>
      <c r="AI233" s="29"/>
      <c r="AJ233" s="29"/>
    </row>
    <row r="234" spans="2:36" x14ac:dyDescent="0.2">
      <c r="C234" t="s">
        <v>934</v>
      </c>
      <c r="D234" s="29"/>
      <c r="E234" s="29"/>
      <c r="F234" s="30">
        <f>M663</f>
        <v>18</v>
      </c>
      <c r="G234" s="30">
        <f>M676</f>
        <v>21</v>
      </c>
      <c r="H234" s="1">
        <f t="shared" ref="H234:W234" ca="1" si="306">OFFSET($M$1546,H232,0)+OFFSET($M$1567,H232,0)</f>
        <v>15.75</v>
      </c>
      <c r="I234" s="1">
        <f t="shared" ca="1" si="306"/>
        <v>18.29</v>
      </c>
      <c r="J234" s="1">
        <f t="shared" ca="1" si="306"/>
        <v>16.739999999999998</v>
      </c>
      <c r="K234" s="1">
        <f t="shared" ca="1" si="306"/>
        <v>19.869999999999997</v>
      </c>
      <c r="L234" s="1">
        <f t="shared" ca="1" si="306"/>
        <v>15.75</v>
      </c>
      <c r="M234" s="1">
        <f t="shared" ca="1" si="306"/>
        <v>18.29</v>
      </c>
      <c r="N234" s="1">
        <f t="shared" ca="1" si="306"/>
        <v>16.739999999999998</v>
      </c>
      <c r="O234" s="1">
        <f t="shared" ca="1" si="306"/>
        <v>19.869999999999997</v>
      </c>
      <c r="P234" s="1">
        <f t="shared" ca="1" si="306"/>
        <v>16.739999999999998</v>
      </c>
      <c r="Q234" s="1">
        <f t="shared" ca="1" si="306"/>
        <v>19.869999999999997</v>
      </c>
      <c r="R234" s="1">
        <f t="shared" ca="1" si="306"/>
        <v>15.75</v>
      </c>
      <c r="S234" s="1">
        <f t="shared" ca="1" si="306"/>
        <v>18.29</v>
      </c>
      <c r="T234" s="1">
        <f t="shared" ca="1" si="306"/>
        <v>16.739999999999998</v>
      </c>
      <c r="U234" s="1">
        <f t="shared" ca="1" si="306"/>
        <v>19.869999999999997</v>
      </c>
      <c r="V234" s="1">
        <f t="shared" ca="1" si="306"/>
        <v>16.739999999999998</v>
      </c>
      <c r="W234" s="1">
        <f t="shared" ca="1" si="306"/>
        <v>19.869999999999997</v>
      </c>
      <c r="X234" s="27"/>
      <c r="Y234" s="27"/>
      <c r="AH234" s="29"/>
      <c r="AI234" s="29"/>
      <c r="AJ234" s="29"/>
    </row>
    <row r="235" spans="2:36" x14ac:dyDescent="0.2">
      <c r="C235" t="s">
        <v>961</v>
      </c>
      <c r="D235" s="83">
        <v>5.3710000000000004</v>
      </c>
      <c r="E235" s="113">
        <f>D118-D235</f>
        <v>11.871999999999998</v>
      </c>
      <c r="F235" s="29"/>
      <c r="G235" s="2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14">
        <f>SUM(E1042:J1042)</f>
        <v>7.75</v>
      </c>
      <c r="Y235" s="114">
        <f>D1042+SUM(K1042:O1042)</f>
        <v>18.5</v>
      </c>
      <c r="Z235" s="1">
        <f t="shared" ref="Z235:AE235" ca="1" si="307">OFFSET($M$2598,Z232,0)</f>
        <v>5.79</v>
      </c>
      <c r="AA235" s="1">
        <f t="shared" ca="1" si="307"/>
        <v>10.81</v>
      </c>
      <c r="AB235" s="1">
        <f t="shared" ca="1" si="307"/>
        <v>5.79</v>
      </c>
      <c r="AC235" s="1">
        <f t="shared" ca="1" si="307"/>
        <v>10.81</v>
      </c>
      <c r="AD235" s="1">
        <f t="shared" ca="1" si="307"/>
        <v>5.79</v>
      </c>
      <c r="AE235" s="1">
        <f t="shared" ca="1" si="307"/>
        <v>10.81</v>
      </c>
      <c r="AF235" s="1">
        <f ca="1">OFFSET($M$2828,AF232,0)</f>
        <v>8.1647930691309192</v>
      </c>
      <c r="AG235" s="1">
        <f ca="1">OFFSET($M$2828,AG232,0)</f>
        <v>10.41170693086908</v>
      </c>
      <c r="AH235" s="29"/>
      <c r="AI235" s="29"/>
      <c r="AJ235" s="29"/>
    </row>
    <row r="236" spans="2:36" x14ac:dyDescent="0.2">
      <c r="C236" t="s">
        <v>936</v>
      </c>
      <c r="D236" s="83">
        <v>9.3010000000000002</v>
      </c>
      <c r="E236" s="113">
        <f>D119-D236</f>
        <v>10.409000000000001</v>
      </c>
      <c r="F236" s="29"/>
      <c r="G236" s="2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14">
        <f>SUM(E1043:J1043)</f>
        <v>7.375</v>
      </c>
      <c r="Y236" s="114">
        <f>D1043+SUM(K1043:O1043)</f>
        <v>0.38750000000000001</v>
      </c>
      <c r="Z236" s="1">
        <f t="shared" ref="Z236:AE236" ca="1" si="308">OFFSET($M$2599,Z232,0)+OFFSET($M$2600,Z232,0)-OFFSET($M$2611,Z232,0)</f>
        <v>8.7800000000000011</v>
      </c>
      <c r="AA236" s="1">
        <f t="shared" ca="1" si="308"/>
        <v>10.999999999999998</v>
      </c>
      <c r="AB236" s="1">
        <f t="shared" ca="1" si="308"/>
        <v>13.06</v>
      </c>
      <c r="AC236" s="1">
        <f t="shared" ca="1" si="308"/>
        <v>6.5600000000000005</v>
      </c>
      <c r="AD236" s="1">
        <f t="shared" ca="1" si="308"/>
        <v>12.92</v>
      </c>
      <c r="AE236" s="1">
        <f t="shared" ca="1" si="308"/>
        <v>6.47</v>
      </c>
      <c r="AF236" s="1">
        <f ca="1">OFFSET($M$2829,AF232,0)+OFFSET($M$2830,AF232,0)+OFFSET($M$2831,AF232,0)</f>
        <v>11.195562958569282</v>
      </c>
      <c r="AG236" s="1">
        <f ca="1">OFFSET($M$2829,AG232,0)+OFFSET($M$2830,AG232,0)+OFFSET($M$2831,AG232,0)</f>
        <v>12.098191135648857</v>
      </c>
      <c r="AH236" s="29"/>
      <c r="AI236" s="29"/>
      <c r="AJ236" s="29"/>
    </row>
    <row r="237" spans="2:36" x14ac:dyDescent="0.2">
      <c r="C237" t="s">
        <v>935</v>
      </c>
      <c r="D237" s="83">
        <v>14.260999999999999</v>
      </c>
      <c r="E237" s="113">
        <f>D120-D237</f>
        <v>12.109000000000002</v>
      </c>
      <c r="F237" s="114">
        <f>M660</f>
        <v>0</v>
      </c>
      <c r="G237" s="114">
        <f>M673</f>
        <v>0</v>
      </c>
      <c r="H237" s="1">
        <f t="shared" ref="H237:W237" ca="1" si="309">OFFSET($M$1549,H232,0)</f>
        <v>0</v>
      </c>
      <c r="I237" s="1">
        <f t="shared" ca="1" si="309"/>
        <v>0</v>
      </c>
      <c r="J237" s="1">
        <f t="shared" ca="1" si="309"/>
        <v>0</v>
      </c>
      <c r="K237" s="1">
        <f t="shared" ca="1" si="309"/>
        <v>0</v>
      </c>
      <c r="L237" s="1">
        <f t="shared" ca="1" si="309"/>
        <v>0</v>
      </c>
      <c r="M237" s="1">
        <f t="shared" ca="1" si="309"/>
        <v>0</v>
      </c>
      <c r="N237" s="1">
        <f t="shared" ca="1" si="309"/>
        <v>0</v>
      </c>
      <c r="O237" s="1">
        <f t="shared" ca="1" si="309"/>
        <v>0</v>
      </c>
      <c r="P237" s="1">
        <f t="shared" ca="1" si="309"/>
        <v>0</v>
      </c>
      <c r="Q237" s="1">
        <f t="shared" ca="1" si="309"/>
        <v>0</v>
      </c>
      <c r="R237" s="1">
        <f t="shared" ca="1" si="309"/>
        <v>0</v>
      </c>
      <c r="S237" s="1">
        <f t="shared" ca="1" si="309"/>
        <v>0</v>
      </c>
      <c r="T237" s="1">
        <f t="shared" ca="1" si="309"/>
        <v>0</v>
      </c>
      <c r="U237" s="1">
        <f t="shared" ca="1" si="309"/>
        <v>0</v>
      </c>
      <c r="V237" s="1">
        <f t="shared" ca="1" si="309"/>
        <v>0</v>
      </c>
      <c r="W237" s="1">
        <f t="shared" ca="1" si="309"/>
        <v>0</v>
      </c>
      <c r="X237" s="115">
        <v>0</v>
      </c>
      <c r="Y237" s="115">
        <v>0</v>
      </c>
      <c r="Z237" s="1">
        <f t="shared" ref="Z237:AE237" ca="1" si="310">OFFSET($M$2597,Z232,0)</f>
        <v>0</v>
      </c>
      <c r="AA237" s="1">
        <f t="shared" ca="1" si="310"/>
        <v>0</v>
      </c>
      <c r="AB237" s="1">
        <f t="shared" ca="1" si="310"/>
        <v>0</v>
      </c>
      <c r="AC237" s="1">
        <f t="shared" ca="1" si="310"/>
        <v>0</v>
      </c>
      <c r="AD237" s="1">
        <f t="shared" ca="1" si="310"/>
        <v>14.85</v>
      </c>
      <c r="AE237" s="1">
        <f t="shared" ca="1" si="310"/>
        <v>12.48</v>
      </c>
      <c r="AF237" s="1">
        <f ca="1">OFFSET($M$2821,AF232,0)</f>
        <v>0</v>
      </c>
      <c r="AG237" s="1">
        <f ca="1">OFFSET($M$2821,AG232,0)</f>
        <v>0</v>
      </c>
      <c r="AH237" s="29"/>
      <c r="AI237" s="29"/>
      <c r="AJ237" s="29"/>
    </row>
    <row r="238" spans="2:36" x14ac:dyDescent="0.2">
      <c r="C238" t="s">
        <v>7</v>
      </c>
      <c r="D238" s="113">
        <f>0.27*D121</f>
        <v>0.22723200000000002</v>
      </c>
      <c r="E238" s="113">
        <f>0.73*D121</f>
        <v>0.61436800000000003</v>
      </c>
      <c r="F238" s="30">
        <f>M664</f>
        <v>4.2</v>
      </c>
      <c r="G238" s="30">
        <f>M677</f>
        <v>9.7999999999999989</v>
      </c>
      <c r="H238" s="1">
        <f t="shared" ref="H238:W238" ca="1" si="311">OFFSET($M$1557,H232,0)</f>
        <v>1.6</v>
      </c>
      <c r="I238" s="1">
        <f t="shared" ca="1" si="311"/>
        <v>4.32</v>
      </c>
      <c r="J238" s="1">
        <f t="shared" ca="1" si="311"/>
        <v>3</v>
      </c>
      <c r="K238" s="1">
        <f t="shared" ca="1" si="311"/>
        <v>8.1199999999999992</v>
      </c>
      <c r="L238" s="1">
        <f t="shared" ca="1" si="311"/>
        <v>1.6</v>
      </c>
      <c r="M238" s="1">
        <f t="shared" ca="1" si="311"/>
        <v>4.32</v>
      </c>
      <c r="N238" s="1">
        <f t="shared" ca="1" si="311"/>
        <v>3</v>
      </c>
      <c r="O238" s="1">
        <f t="shared" ca="1" si="311"/>
        <v>8.1199999999999992</v>
      </c>
      <c r="P238" s="1">
        <f t="shared" ca="1" si="311"/>
        <v>3</v>
      </c>
      <c r="Q238" s="1">
        <f t="shared" ca="1" si="311"/>
        <v>8.1199999999999992</v>
      </c>
      <c r="R238" s="1">
        <f t="shared" ca="1" si="311"/>
        <v>1.6</v>
      </c>
      <c r="S238" s="1">
        <f t="shared" ca="1" si="311"/>
        <v>4.32</v>
      </c>
      <c r="T238" s="1">
        <f t="shared" ca="1" si="311"/>
        <v>3</v>
      </c>
      <c r="U238" s="1">
        <f t="shared" ca="1" si="311"/>
        <v>8.1199999999999992</v>
      </c>
      <c r="V238" s="1">
        <f t="shared" ca="1" si="311"/>
        <v>3</v>
      </c>
      <c r="W238" s="1">
        <f t="shared" ca="1" si="311"/>
        <v>8.1199999999999992</v>
      </c>
      <c r="X238" s="30">
        <f>SUM(E1046:J1046)</f>
        <v>5</v>
      </c>
      <c r="Y238" s="30">
        <f>D1046+SUM(K1046:O1046)</f>
        <v>8.75</v>
      </c>
      <c r="Z238" s="1">
        <f t="shared" ref="Z238:AE238" ca="1" si="312">OFFSET($M$2603,Z232,0)</f>
        <v>3.49</v>
      </c>
      <c r="AA238" s="1">
        <f t="shared" ca="1" si="312"/>
        <v>7.63</v>
      </c>
      <c r="AB238" s="1">
        <f t="shared" ca="1" si="312"/>
        <v>3.49</v>
      </c>
      <c r="AC238" s="1">
        <f t="shared" ca="1" si="312"/>
        <v>7.63</v>
      </c>
      <c r="AD238" s="1">
        <f t="shared" ca="1" si="312"/>
        <v>0</v>
      </c>
      <c r="AE238" s="1">
        <f t="shared" ca="1" si="312"/>
        <v>0</v>
      </c>
      <c r="AF238" s="1">
        <f ca="1">OFFSET($M$2824,AF232,0)</f>
        <v>1.9555729256088137</v>
      </c>
      <c r="AG238" s="1">
        <f ca="1">OFFSET($M$2824,AG232,0)</f>
        <v>3.3752536918140423</v>
      </c>
      <c r="AH238" s="29"/>
      <c r="AI238" s="29"/>
      <c r="AJ238" s="29"/>
    </row>
    <row r="239" spans="2:36" x14ac:dyDescent="0.2">
      <c r="C239" t="s">
        <v>8</v>
      </c>
      <c r="D239" s="113">
        <f>0.6*D122</f>
        <v>6.0539999999999997E-2</v>
      </c>
      <c r="E239" s="113">
        <f>0.4*D122</f>
        <v>4.0360000000000007E-2</v>
      </c>
      <c r="F239" s="30">
        <f>M665</f>
        <v>2</v>
      </c>
      <c r="G239" s="30">
        <f>M678</f>
        <v>1</v>
      </c>
      <c r="H239" s="1">
        <f t="shared" ref="H239:W239" ca="1" si="313">OFFSET($M$1558,H232,0)</f>
        <v>0.85</v>
      </c>
      <c r="I239" s="1">
        <f t="shared" ca="1" si="313"/>
        <v>0.56000000000000005</v>
      </c>
      <c r="J239" s="1">
        <f t="shared" ca="1" si="313"/>
        <v>2.56</v>
      </c>
      <c r="K239" s="1">
        <f t="shared" ca="1" si="313"/>
        <v>1.7</v>
      </c>
      <c r="L239" s="1">
        <f t="shared" ca="1" si="313"/>
        <v>0.85</v>
      </c>
      <c r="M239" s="1">
        <f t="shared" ca="1" si="313"/>
        <v>0.56000000000000005</v>
      </c>
      <c r="N239" s="1">
        <f t="shared" ca="1" si="313"/>
        <v>2.56</v>
      </c>
      <c r="O239" s="1">
        <f t="shared" ca="1" si="313"/>
        <v>1.7</v>
      </c>
      <c r="P239" s="1">
        <f t="shared" ca="1" si="313"/>
        <v>2.56</v>
      </c>
      <c r="Q239" s="1">
        <f t="shared" ca="1" si="313"/>
        <v>1.7</v>
      </c>
      <c r="R239" s="1">
        <f t="shared" ca="1" si="313"/>
        <v>0.85</v>
      </c>
      <c r="S239" s="1">
        <f t="shared" ca="1" si="313"/>
        <v>0.56000000000000005</v>
      </c>
      <c r="T239" s="1">
        <f t="shared" ca="1" si="313"/>
        <v>2.56</v>
      </c>
      <c r="U239" s="1">
        <f t="shared" ca="1" si="313"/>
        <v>1.7</v>
      </c>
      <c r="V239" s="1">
        <f t="shared" ca="1" si="313"/>
        <v>2.56</v>
      </c>
      <c r="W239" s="1">
        <f t="shared" ca="1" si="313"/>
        <v>1.7</v>
      </c>
      <c r="X239" s="30">
        <f>SUM(E1045:J1045)</f>
        <v>2.5</v>
      </c>
      <c r="Y239" s="30">
        <f>D1045+SUM(K1045:O1045)</f>
        <v>1.625</v>
      </c>
      <c r="Z239" s="1">
        <f t="shared" ref="Z239:AE239" ca="1" si="314">OFFSET($M$2604,Z232,0)</f>
        <v>2.2599999999999998</v>
      </c>
      <c r="AA239" s="1">
        <f t="shared" ca="1" si="314"/>
        <v>2.0099999999999998</v>
      </c>
      <c r="AB239" s="1">
        <f t="shared" ca="1" si="314"/>
        <v>2.2599999999999998</v>
      </c>
      <c r="AC239" s="1">
        <f t="shared" ca="1" si="314"/>
        <v>2.0099999999999998</v>
      </c>
      <c r="AD239" s="1">
        <f t="shared" ca="1" si="314"/>
        <v>0</v>
      </c>
      <c r="AE239" s="1">
        <f t="shared" ca="1" si="314"/>
        <v>0</v>
      </c>
      <c r="AF239" s="1">
        <f ca="1">OFFSET($M$2825,AF232,0)</f>
        <v>0.69056032667160516</v>
      </c>
      <c r="AG239" s="1">
        <f ca="1">OFFSET($M$2825,AG232,0)</f>
        <v>0.48627019066707838</v>
      </c>
      <c r="AH239" s="29"/>
      <c r="AI239" s="29"/>
      <c r="AJ239" s="29"/>
    </row>
    <row r="240" spans="2:36" x14ac:dyDescent="0.2">
      <c r="C240" t="s">
        <v>937</v>
      </c>
      <c r="D240">
        <v>0</v>
      </c>
      <c r="E240">
        <v>0</v>
      </c>
      <c r="F240" s="29"/>
      <c r="G240" s="2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0"/>
      <c r="Y240" s="30"/>
      <c r="AF240" s="1"/>
      <c r="AG240" s="1"/>
      <c r="AH240" s="29"/>
      <c r="AI240" s="29"/>
      <c r="AJ240" s="29"/>
    </row>
    <row r="241" spans="2:36" x14ac:dyDescent="0.2">
      <c r="C241" t="s">
        <v>960</v>
      </c>
      <c r="D241" s="115">
        <v>0</v>
      </c>
      <c r="E241" s="115">
        <v>0</v>
      </c>
      <c r="F241" s="30">
        <f>M666</f>
        <v>4</v>
      </c>
      <c r="G241" s="30">
        <f>M679</f>
        <v>0</v>
      </c>
      <c r="H241" s="1">
        <f t="shared" ref="H241:W241" ca="1" si="315">OFFSET($M$1560,H232,0)</f>
        <v>0.21</v>
      </c>
      <c r="I241" s="1">
        <f t="shared" ca="1" si="315"/>
        <v>0.21</v>
      </c>
      <c r="J241" s="1">
        <f t="shared" ca="1" si="315"/>
        <v>2.19</v>
      </c>
      <c r="K241" s="1">
        <f t="shared" ca="1" si="315"/>
        <v>2.19</v>
      </c>
      <c r="L241" s="1">
        <f t="shared" ca="1" si="315"/>
        <v>0.21</v>
      </c>
      <c r="M241" s="1">
        <f t="shared" ca="1" si="315"/>
        <v>0.21</v>
      </c>
      <c r="N241" s="1">
        <f t="shared" ca="1" si="315"/>
        <v>2.19</v>
      </c>
      <c r="O241" s="1">
        <f t="shared" ca="1" si="315"/>
        <v>2.19</v>
      </c>
      <c r="P241" s="1">
        <f t="shared" ca="1" si="315"/>
        <v>2.19</v>
      </c>
      <c r="Q241" s="1">
        <f t="shared" ca="1" si="315"/>
        <v>2.19</v>
      </c>
      <c r="R241" s="1">
        <f t="shared" ca="1" si="315"/>
        <v>0.21</v>
      </c>
      <c r="S241" s="1">
        <f t="shared" ca="1" si="315"/>
        <v>0.21</v>
      </c>
      <c r="T241" s="1">
        <f t="shared" ca="1" si="315"/>
        <v>2.19</v>
      </c>
      <c r="U241" s="1">
        <f t="shared" ca="1" si="315"/>
        <v>2.19</v>
      </c>
      <c r="V241" s="1">
        <f t="shared" ca="1" si="315"/>
        <v>2.19</v>
      </c>
      <c r="W241" s="1">
        <f t="shared" ca="1" si="315"/>
        <v>2.19</v>
      </c>
      <c r="X241" s="30">
        <f>SUM(E1048:J1048)</f>
        <v>0.6875</v>
      </c>
      <c r="Y241" s="30">
        <f>D1048+SUM(K1048:O1048)</f>
        <v>0.13750000000000001</v>
      </c>
      <c r="Z241" s="1">
        <f t="shared" ref="Z241:AE241" ca="1" si="316">OFFSET($M$2601,Z232,0)</f>
        <v>2.2000000000000002</v>
      </c>
      <c r="AA241" s="1">
        <f t="shared" ca="1" si="316"/>
        <v>2.21</v>
      </c>
      <c r="AB241" s="1">
        <f t="shared" ca="1" si="316"/>
        <v>2.2000000000000002</v>
      </c>
      <c r="AC241" s="1">
        <f t="shared" ca="1" si="316"/>
        <v>2.21</v>
      </c>
      <c r="AD241" s="1">
        <f t="shared" ca="1" si="316"/>
        <v>0</v>
      </c>
      <c r="AE241" s="1">
        <f t="shared" ca="1" si="316"/>
        <v>0</v>
      </c>
      <c r="AF241" s="1">
        <f ca="1">OFFSET($M$2823,AF232,0)</f>
        <v>0</v>
      </c>
      <c r="AG241" s="1">
        <f ca="1">OFFSET($M$2823,AG232,0)</f>
        <v>0</v>
      </c>
      <c r="AH241" s="29"/>
      <c r="AI241" s="29"/>
      <c r="AJ241" s="29"/>
    </row>
    <row r="242" spans="2:36" x14ac:dyDescent="0.2">
      <c r="C242" t="s">
        <v>984</v>
      </c>
      <c r="D242" s="113">
        <f>1835/3527*D125</f>
        <v>0.84736730932804094</v>
      </c>
      <c r="E242" s="113">
        <f>(3526-1835)/3526*D125</f>
        <v>0.78109237095859341</v>
      </c>
      <c r="F242" s="30">
        <f>M667</f>
        <v>5</v>
      </c>
      <c r="G242" s="30">
        <f>M680</f>
        <v>1</v>
      </c>
      <c r="H242" s="1">
        <f ca="1">SUM(OFFSET($M$1559,H232,0):OFFSET($M$1565,H232,0))-H241</f>
        <v>1.5</v>
      </c>
      <c r="I242" s="1">
        <f ca="1">SUM(OFFSET($M$1559,I232,0):OFFSET($M$1565,I232,0))-I241</f>
        <v>0.99</v>
      </c>
      <c r="J242" s="1">
        <f ca="1">SUM(OFFSET($M$1559,J232,0):OFFSET($M$1565,J232,0))-J241</f>
        <v>2.72</v>
      </c>
      <c r="K242" s="1">
        <f ca="1">SUM(OFFSET($M$1559,K232,0):OFFSET($M$1565,K232,0))-K241</f>
        <v>1.7400000000000002</v>
      </c>
      <c r="L242" s="1">
        <f ca="1">SUM(OFFSET($M$1559,L232,0):OFFSET($M$1565,L232,0))-L241</f>
        <v>1.5</v>
      </c>
      <c r="M242" s="1">
        <f ca="1">SUM(OFFSET($M$1559,M232,0):OFFSET($M$1565,M232,0))-M241</f>
        <v>0.99</v>
      </c>
      <c r="N242" s="1">
        <f ca="1">SUM(OFFSET($M$1559,N232,0):OFFSET($M$1565,N232,0))-N241</f>
        <v>2.72</v>
      </c>
      <c r="O242" s="1">
        <f ca="1">SUM(OFFSET($M$1559,O232,0):OFFSET($M$1565,O232,0))-O241</f>
        <v>1.7400000000000002</v>
      </c>
      <c r="P242" s="1">
        <f ca="1">SUM(OFFSET($M$1559,P232,0):OFFSET($M$1565,P232,0))-P241</f>
        <v>2.72</v>
      </c>
      <c r="Q242" s="1">
        <f ca="1">SUM(OFFSET($M$1559,Q232,0):OFFSET($M$1565,Q232,0))-Q241</f>
        <v>1.7400000000000002</v>
      </c>
      <c r="R242" s="1">
        <f ca="1">SUM(OFFSET($M$1559,R232,0):OFFSET($M$1565,R232,0))-R241</f>
        <v>1.5</v>
      </c>
      <c r="S242" s="1">
        <f ca="1">SUM(OFFSET($M$1559,S232,0):OFFSET($M$1565,S232,0))-S241</f>
        <v>0.99</v>
      </c>
      <c r="T242" s="1">
        <f ca="1">SUM(OFFSET($M$1559,T232,0):OFFSET($M$1565,T232,0))-T241</f>
        <v>2.72</v>
      </c>
      <c r="U242" s="1">
        <f ca="1">SUM(OFFSET($M$1559,U232,0):OFFSET($M$1565,U232,0))-U241</f>
        <v>1.7400000000000002</v>
      </c>
      <c r="V242" s="1">
        <f ca="1">SUM(OFFSET($M$1559,V232,0):OFFSET($M$1565,V232,0))-V241</f>
        <v>2.72</v>
      </c>
      <c r="W242" s="1">
        <f ca="1">SUM(OFFSET($M$1559,W232,0):OFFSET($M$1565,W232,0))-W241</f>
        <v>1.7400000000000002</v>
      </c>
      <c r="X242" s="30">
        <f>SUM(E1047:J1047)</f>
        <v>6.875</v>
      </c>
      <c r="Y242" s="30">
        <f>D1047+SUM(K1047:O1047)</f>
        <v>0.4375</v>
      </c>
      <c r="Z242" s="1">
        <f t="shared" ref="Z242:AE242" ca="1" si="317">OFFSET($M$2602,Z232,0)</f>
        <v>1.31</v>
      </c>
      <c r="AA242" s="1">
        <f t="shared" ca="1" si="317"/>
        <v>0.45</v>
      </c>
      <c r="AB242" s="1">
        <f t="shared" ca="1" si="317"/>
        <v>2.1</v>
      </c>
      <c r="AC242" s="1">
        <f t="shared" ca="1" si="317"/>
        <v>0.71</v>
      </c>
      <c r="AD242" s="1">
        <f t="shared" ca="1" si="317"/>
        <v>0</v>
      </c>
      <c r="AE242" s="1">
        <f t="shared" ca="1" si="317"/>
        <v>0</v>
      </c>
      <c r="AF242" s="1">
        <f ca="1">OFFSET($M$2826,AF232,0)+OFFSET($M$2827,AF232,0)</f>
        <v>1.1211187214611886</v>
      </c>
      <c r="AG242" s="1">
        <f ca="1">OFFSET($M$2826,AG232,0)+OFFSET($M$2827,AG232,0)</f>
        <v>1.1149923896499272</v>
      </c>
      <c r="AH242" s="29"/>
      <c r="AI242" s="29"/>
      <c r="AJ242" s="29"/>
    </row>
    <row r="243" spans="2:36" x14ac:dyDescent="0.2">
      <c r="C243" t="s">
        <v>959</v>
      </c>
      <c r="D243" s="115">
        <v>0</v>
      </c>
      <c r="E243" s="115">
        <v>0</v>
      </c>
      <c r="F243" s="115">
        <f>M668+M661</f>
        <v>9.7999999999999972</v>
      </c>
      <c r="G243" s="30">
        <f>M681+M674</f>
        <v>3.2000000000000028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30"/>
      <c r="Y243" s="30"/>
      <c r="AF243" s="1"/>
      <c r="AG243" s="1"/>
      <c r="AH243" s="29"/>
      <c r="AI243" s="29"/>
      <c r="AJ243" s="29"/>
    </row>
    <row r="244" spans="2:36" x14ac:dyDescent="0.2">
      <c r="C244" t="s">
        <v>971</v>
      </c>
      <c r="D244" s="113">
        <f>1835/3527*D127</f>
        <v>0.71995265097816841</v>
      </c>
      <c r="E244" s="113">
        <f>(3526-1835)/3526*D127</f>
        <v>0.66364316505955756</v>
      </c>
      <c r="F244" s="29"/>
      <c r="G244" s="27"/>
      <c r="H244" s="1">
        <f t="shared" ref="H244:W244" ca="1" si="318">OFFSET($M$1550,H232,0)</f>
        <v>21.54</v>
      </c>
      <c r="I244" s="1">
        <f t="shared" ca="1" si="318"/>
        <v>8.9600000000000009</v>
      </c>
      <c r="J244" s="1">
        <f t="shared" ca="1" si="318"/>
        <v>14.24</v>
      </c>
      <c r="K244" s="1">
        <f t="shared" ca="1" si="318"/>
        <v>1.31</v>
      </c>
      <c r="L244" s="1">
        <f t="shared" ca="1" si="318"/>
        <v>11.99</v>
      </c>
      <c r="M244" s="1">
        <f t="shared" ca="1" si="318"/>
        <v>1.28</v>
      </c>
      <c r="N244" s="1">
        <f t="shared" ca="1" si="318"/>
        <v>4.6900000000000004</v>
      </c>
      <c r="O244" s="1">
        <f t="shared" ca="1" si="318"/>
        <v>1.31</v>
      </c>
      <c r="P244" s="1">
        <f t="shared" ca="1" si="318"/>
        <v>2.14</v>
      </c>
      <c r="Q244" s="1">
        <f t="shared" ca="1" si="318"/>
        <v>1.31</v>
      </c>
      <c r="R244" s="1">
        <f t="shared" ca="1" si="318"/>
        <v>16.64</v>
      </c>
      <c r="S244" s="1">
        <f t="shared" ca="1" si="318"/>
        <v>5.01</v>
      </c>
      <c r="T244" s="1">
        <f t="shared" ca="1" si="318"/>
        <v>9.34</v>
      </c>
      <c r="U244" s="1">
        <f t="shared" ca="1" si="318"/>
        <v>1.31</v>
      </c>
      <c r="V244" s="1">
        <f t="shared" ca="1" si="318"/>
        <v>2.14</v>
      </c>
      <c r="W244" s="1">
        <f t="shared" ca="1" si="318"/>
        <v>1.31</v>
      </c>
      <c r="X244" s="30"/>
      <c r="Y244" s="30"/>
      <c r="Z244" s="25">
        <f t="shared" ref="Z244:AE244" ca="1" si="319">OFFSET($M$2596,Z232,0)+OFFSET($M$2605,Z232,0)</f>
        <v>15.98</v>
      </c>
      <c r="AA244" s="25">
        <f t="shared" ca="1" si="319"/>
        <v>1.19</v>
      </c>
      <c r="AB244" s="25">
        <f t="shared" ca="1" si="319"/>
        <v>4.0999999999999996</v>
      </c>
      <c r="AC244" s="25">
        <f t="shared" ca="1" si="319"/>
        <v>0.92999999999999994</v>
      </c>
      <c r="AD244" s="25">
        <f t="shared" ca="1" si="319"/>
        <v>1.76</v>
      </c>
      <c r="AE244" s="25">
        <f t="shared" ca="1" si="319"/>
        <v>1.94</v>
      </c>
      <c r="AF244" s="1">
        <f ca="1">OFFSET($M$2818,AF232,0)+OFFSET($M$2819,AF232,0)+OFFSET($M$2820,AF232,0)+OFFSET($M$2822,AF232,0)</f>
        <v>12.577972602739717</v>
      </c>
      <c r="AG244" s="1">
        <f ca="1">OFFSET($M$2818,AG232,0)+OFFSET($M$2819,AG232,0)+OFFSET($M$2820,AG232,0)+OFFSET($M$2822,AG232,0)</f>
        <v>5.9237260273972483</v>
      </c>
      <c r="AH244" s="29"/>
      <c r="AI244" s="29"/>
      <c r="AJ244" s="29"/>
    </row>
    <row r="245" spans="2:36" x14ac:dyDescent="0.2">
      <c r="B245" s="102"/>
      <c r="C245" s="29" t="s">
        <v>1071</v>
      </c>
      <c r="D245" s="89">
        <f>40.453-36.211</f>
        <v>4.2420000000000044</v>
      </c>
      <c r="E245" s="81">
        <f>D128-D245</f>
        <v>-9.7330000000000041</v>
      </c>
      <c r="F245" s="14"/>
      <c r="G245" s="26"/>
      <c r="H245" s="80">
        <f t="shared" ref="H245:W245" ca="1" si="320">OFFSET($M$1575,H232,0)</f>
        <v>0</v>
      </c>
      <c r="I245" s="80">
        <f t="shared" ca="1" si="320"/>
        <v>0</v>
      </c>
      <c r="J245" s="80">
        <f t="shared" ca="1" si="320"/>
        <v>0</v>
      </c>
      <c r="K245" s="80">
        <f t="shared" ca="1" si="320"/>
        <v>-1.59</v>
      </c>
      <c r="L245" s="80">
        <f t="shared" ca="1" si="320"/>
        <v>0</v>
      </c>
      <c r="M245" s="80">
        <f t="shared" ca="1" si="320"/>
        <v>0</v>
      </c>
      <c r="N245" s="80">
        <f t="shared" ca="1" si="320"/>
        <v>0</v>
      </c>
      <c r="O245" s="80">
        <f t="shared" ca="1" si="320"/>
        <v>-9.27</v>
      </c>
      <c r="P245" s="80">
        <f t="shared" ca="1" si="320"/>
        <v>2.56</v>
      </c>
      <c r="Q245" s="80">
        <f t="shared" ca="1" si="320"/>
        <v>-9.27</v>
      </c>
      <c r="R245" s="80">
        <f t="shared" ca="1" si="320"/>
        <v>0</v>
      </c>
      <c r="S245" s="80">
        <f t="shared" ca="1" si="320"/>
        <v>0</v>
      </c>
      <c r="T245" s="80">
        <f t="shared" ca="1" si="320"/>
        <v>0</v>
      </c>
      <c r="U245" s="80">
        <f t="shared" ca="1" si="320"/>
        <v>-5.53</v>
      </c>
      <c r="V245" s="80">
        <f t="shared" ca="1" si="320"/>
        <v>7.2</v>
      </c>
      <c r="W245" s="80">
        <f t="shared" ca="1" si="320"/>
        <v>-5.53</v>
      </c>
      <c r="X245" s="15">
        <f>SUM(E1049:J1049)</f>
        <v>7.5</v>
      </c>
      <c r="Y245" s="15">
        <f>D1049+SUM(K1049:O1049)</f>
        <v>2.5</v>
      </c>
      <c r="Z245" s="80">
        <f t="shared" ref="Z245:AE245" ca="1" si="321">OFFSET($M$2609,Z232,0)</f>
        <v>3.09</v>
      </c>
      <c r="AA245" s="80">
        <f t="shared" ca="1" si="321"/>
        <v>0.06</v>
      </c>
      <c r="AB245" s="80">
        <f t="shared" ca="1" si="321"/>
        <v>9.9999999999999978E-2</v>
      </c>
      <c r="AC245" s="80">
        <f t="shared" ca="1" si="321"/>
        <v>-3.43</v>
      </c>
      <c r="AD245" s="80">
        <f t="shared" ca="1" si="321"/>
        <v>-0.46</v>
      </c>
      <c r="AE245" s="80">
        <f t="shared" ca="1" si="321"/>
        <v>-2.9</v>
      </c>
      <c r="AF245" s="80">
        <f ca="1">OFFSET($M$2834,AF232,0)</f>
        <v>1.4263986275952192</v>
      </c>
      <c r="AG245" s="80">
        <f ca="1">OFFSET($M$2834,AG232,0)</f>
        <v>-1.4263986275951765</v>
      </c>
      <c r="AH245" s="29"/>
      <c r="AI245" s="29"/>
      <c r="AJ245" s="29"/>
    </row>
    <row r="246" spans="2:36" x14ac:dyDescent="0.2">
      <c r="B246" s="102"/>
      <c r="C246" s="59" t="s">
        <v>957</v>
      </c>
      <c r="D246" s="113">
        <f>SUM(D234:E245)</f>
        <v>61.786555496324368</v>
      </c>
      <c r="E246" s="29"/>
      <c r="F246" s="113">
        <f>SUM(F234:G245)</f>
        <v>79</v>
      </c>
      <c r="G246" s="27"/>
      <c r="H246" s="21">
        <f ca="1">SUM(H234:I245)</f>
        <v>74.78</v>
      </c>
      <c r="I246" s="21"/>
      <c r="J246" s="21">
        <f ca="1">SUM(J234:K245)</f>
        <v>74.789999999999992</v>
      </c>
      <c r="K246" s="21"/>
      <c r="L246" s="21">
        <f ca="1">SUM(L234:M245)</f>
        <v>57.550000000000011</v>
      </c>
      <c r="M246" s="21"/>
      <c r="N246" s="21">
        <f ca="1">SUM(N234:O245)</f>
        <v>57.56</v>
      </c>
      <c r="O246" s="21"/>
      <c r="P246" s="21">
        <f ca="1">SUM(P234:Q245)</f>
        <v>57.570000000000007</v>
      </c>
      <c r="Q246" s="21"/>
      <c r="R246" s="21">
        <f ca="1">SUM(R234:S245)</f>
        <v>65.930000000000007</v>
      </c>
      <c r="S246" s="21"/>
      <c r="T246" s="21">
        <f ca="1">SUM(T234:U245)</f>
        <v>65.95</v>
      </c>
      <c r="U246" s="21"/>
      <c r="V246" s="21">
        <f ca="1">SUM(V234:W245)</f>
        <v>65.95</v>
      </c>
      <c r="W246" s="6"/>
      <c r="X246" s="113">
        <f>SUM(X234:Y245)</f>
        <v>70.025000000000006</v>
      </c>
      <c r="Y246" s="30"/>
      <c r="Z246" s="113">
        <f ca="1">SUM(Z234:AA245)</f>
        <v>78.260000000000019</v>
      </c>
      <c r="AB246" s="113">
        <f ca="1">SUM(AB234:AC245)</f>
        <v>60.530000000000015</v>
      </c>
      <c r="AD246" s="113">
        <f ca="1">SUM(AD234:AE245)</f>
        <v>63.660000000000018</v>
      </c>
      <c r="AF246" s="113">
        <f ca="1">SUM(AF234:AG245)</f>
        <v>69.115720970227812</v>
      </c>
      <c r="AG246" s="6"/>
      <c r="AH246" s="29"/>
      <c r="AI246" s="29"/>
      <c r="AJ246" s="29"/>
    </row>
    <row r="247" spans="2:36" x14ac:dyDescent="0.2">
      <c r="B247" s="102"/>
      <c r="C247" s="29"/>
      <c r="D247" s="29"/>
      <c r="E247" s="29"/>
      <c r="F247" s="29"/>
      <c r="G247" s="27"/>
      <c r="H247" s="6"/>
      <c r="I247" s="6"/>
      <c r="J247" s="6"/>
      <c r="K247" s="6"/>
      <c r="L247" s="6"/>
      <c r="M247" s="6"/>
      <c r="N247" s="6"/>
      <c r="O247" s="6"/>
      <c r="P247" s="27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2:36" x14ac:dyDescent="0.2">
      <c r="B248" s="102"/>
      <c r="C248" s="29"/>
      <c r="D248" s="29"/>
      <c r="E248" s="29"/>
      <c r="F248" s="29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2:36" x14ac:dyDescent="0.2">
      <c r="B249" s="102"/>
      <c r="C249" s="29"/>
      <c r="D249" s="29"/>
      <c r="E249" s="29"/>
      <c r="F249" s="29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2:36" x14ac:dyDescent="0.2">
      <c r="B250" s="102"/>
      <c r="C250" s="29"/>
      <c r="D250" s="29"/>
      <c r="E250" s="29"/>
      <c r="F250" s="29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2:36" x14ac:dyDescent="0.2">
      <c r="B251" s="102"/>
      <c r="C251" s="29"/>
      <c r="D251" s="29"/>
      <c r="E251" s="29"/>
      <c r="F251" s="29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2:36" x14ac:dyDescent="0.2">
      <c r="B252" s="99" t="s">
        <v>949</v>
      </c>
      <c r="C252" s="14"/>
      <c r="D252" s="14"/>
      <c r="E252" s="14"/>
      <c r="F252" s="14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2:36" x14ac:dyDescent="0.2">
      <c r="B253" s="102"/>
      <c r="C253" s="29"/>
      <c r="D253" s="29"/>
      <c r="E253" s="29"/>
      <c r="F253" s="29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2:36" x14ac:dyDescent="0.2">
      <c r="B254" s="102"/>
      <c r="C254" s="29"/>
      <c r="D254" s="29"/>
      <c r="E254" s="29"/>
      <c r="F254" s="29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2:36" x14ac:dyDescent="0.2">
      <c r="B255" s="102"/>
      <c r="C255" s="29"/>
      <c r="D255" s="29"/>
      <c r="E255" s="29"/>
      <c r="F255" s="29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2:36" ht="15" x14ac:dyDescent="0.25">
      <c r="B256" s="48" t="s">
        <v>1036</v>
      </c>
      <c r="C256" s="29"/>
      <c r="D256" s="29"/>
      <c r="E256" s="29"/>
      <c r="F256" s="29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2:28" x14ac:dyDescent="0.2">
      <c r="B257" s="13" t="s">
        <v>128</v>
      </c>
      <c r="C257" s="29"/>
      <c r="D257" s="29"/>
      <c r="E257" s="29"/>
      <c r="F257" s="29" t="s">
        <v>1064</v>
      </c>
      <c r="G257" s="27" t="s">
        <v>7</v>
      </c>
      <c r="H257" s="27" t="s">
        <v>8</v>
      </c>
      <c r="I257" s="27" t="s">
        <v>984</v>
      </c>
      <c r="J257" s="27" t="s">
        <v>1034</v>
      </c>
      <c r="K257" s="27"/>
      <c r="L257" s="27"/>
      <c r="M257" s="27"/>
      <c r="N257" s="27"/>
      <c r="O257" s="27"/>
      <c r="P257" s="27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2:28" x14ac:dyDescent="0.2">
      <c r="B258" s="59"/>
      <c r="D258" s="29"/>
      <c r="E258" t="s">
        <v>1035</v>
      </c>
      <c r="F258" s="30">
        <f>M629</f>
        <v>6</v>
      </c>
      <c r="G258" s="30">
        <f>M635</f>
        <v>20</v>
      </c>
      <c r="H258" s="30">
        <f>M640</f>
        <v>4</v>
      </c>
      <c r="I258" s="30">
        <f>M650</f>
        <v>8</v>
      </c>
      <c r="J258" s="30">
        <f>M645</f>
        <v>8</v>
      </c>
      <c r="K258" s="27"/>
      <c r="L258" s="27"/>
      <c r="M258" s="27"/>
      <c r="N258" s="27"/>
      <c r="O258" s="27"/>
      <c r="P258" s="27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2:28" x14ac:dyDescent="0.2">
      <c r="B259" s="59"/>
      <c r="D259" s="29"/>
      <c r="E259" t="s">
        <v>1031</v>
      </c>
      <c r="F259" s="30">
        <f>M804</f>
        <v>4</v>
      </c>
      <c r="G259" s="30">
        <f>M811</f>
        <v>18</v>
      </c>
      <c r="H259" s="30">
        <f>M814</f>
        <v>4</v>
      </c>
      <c r="I259" s="30">
        <f>M807</f>
        <v>4</v>
      </c>
      <c r="J259" s="30">
        <f>M817</f>
        <v>4</v>
      </c>
      <c r="K259" s="27"/>
      <c r="L259" s="27"/>
      <c r="M259" s="27"/>
      <c r="N259" s="27"/>
      <c r="O259" s="27"/>
      <c r="P259" s="27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</row>
    <row r="260" spans="2:28" x14ac:dyDescent="0.2">
      <c r="B260" s="59"/>
      <c r="D260" s="29"/>
      <c r="E260" t="s">
        <v>1032</v>
      </c>
      <c r="F260" s="30">
        <f>0.001*M1511</f>
        <v>8.5500000000000007</v>
      </c>
      <c r="G260" s="30">
        <f>0.001*M1516</f>
        <v>11.036</v>
      </c>
      <c r="H260" s="30">
        <f>0.001*M1517</f>
        <v>4.2220000000000004</v>
      </c>
      <c r="I260" s="30">
        <f>0.001*(M1513+M1514+M1515+0.5*(M1510+M1519))</f>
        <v>2.9510000000000001</v>
      </c>
      <c r="J260" s="30">
        <f>0.001*M1518</f>
        <v>4.3840000000000003</v>
      </c>
      <c r="K260" s="27"/>
      <c r="L260" s="27"/>
      <c r="M260" s="27"/>
      <c r="N260" s="27"/>
      <c r="O260" s="27"/>
      <c r="P260" s="27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</row>
    <row r="261" spans="2:28" x14ac:dyDescent="0.2">
      <c r="B261" s="59"/>
      <c r="D261" s="29"/>
      <c r="E261" t="s">
        <v>916</v>
      </c>
      <c r="F261" s="30">
        <f>M1084</f>
        <v>1</v>
      </c>
      <c r="G261" s="30">
        <f>M1086</f>
        <v>30</v>
      </c>
      <c r="H261" s="30">
        <f>M1082</f>
        <v>4</v>
      </c>
      <c r="I261" s="30">
        <f>M1081</f>
        <v>6.4</v>
      </c>
      <c r="J261" s="30">
        <f>M1083</f>
        <v>3.8</v>
      </c>
      <c r="K261" s="27"/>
      <c r="L261" s="27"/>
      <c r="M261" s="27"/>
      <c r="N261" s="27"/>
      <c r="O261" s="27"/>
      <c r="P261" s="27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</row>
    <row r="262" spans="2:28" x14ac:dyDescent="0.2">
      <c r="B262" s="59"/>
      <c r="D262" s="29"/>
      <c r="E262" t="s">
        <v>917</v>
      </c>
      <c r="F262" s="110">
        <f>N67*M1009</f>
        <v>1.7478000000000002</v>
      </c>
      <c r="G262" s="30">
        <f>M1021</f>
        <v>20.45</v>
      </c>
      <c r="H262" s="30">
        <f>M1022</f>
        <v>7.11</v>
      </c>
      <c r="I262" s="30">
        <f>M1024+M1025</f>
        <v>3.69</v>
      </c>
      <c r="J262" s="30">
        <f>M1012</f>
        <v>8</v>
      </c>
      <c r="K262" s="27"/>
      <c r="L262" s="27"/>
      <c r="M262" s="27"/>
      <c r="N262" s="27"/>
      <c r="O262" s="27"/>
      <c r="P262" s="27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</row>
    <row r="263" spans="2:28" x14ac:dyDescent="0.2">
      <c r="B263" s="59"/>
      <c r="D263" s="29"/>
      <c r="E263" s="29" t="s">
        <v>1221</v>
      </c>
      <c r="F263" s="30">
        <f>M2803-N67</f>
        <v>3.3439999999999941</v>
      </c>
      <c r="G263" s="30">
        <f>M2796</f>
        <v>9.6999999999999993</v>
      </c>
      <c r="H263" s="30">
        <f>M2797</f>
        <v>2.6</v>
      </c>
      <c r="I263" s="30">
        <f>1/2*M2799+M2800</f>
        <v>4.9000000000000004</v>
      </c>
      <c r="J263" s="30">
        <f>M2798</f>
        <v>4.4000000000000004</v>
      </c>
      <c r="K263" s="27"/>
      <c r="L263" s="27"/>
      <c r="M263" s="27"/>
      <c r="N263" s="27"/>
      <c r="O263" s="27"/>
      <c r="P263" s="27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</row>
    <row r="264" spans="2:28" x14ac:dyDescent="0.2">
      <c r="B264" s="59"/>
      <c r="D264" s="29"/>
      <c r="E264" s="59" t="s">
        <v>1217</v>
      </c>
      <c r="F264" s="30">
        <f>M3091-N67</f>
        <v>3.1439999999999984</v>
      </c>
      <c r="G264" s="30">
        <f>M3092</f>
        <v>13.7</v>
      </c>
      <c r="H264" s="30">
        <f>M3093</f>
        <v>4.2</v>
      </c>
      <c r="I264" s="30">
        <f>0.33*(M3094+M3095)</f>
        <v>9.1208333333333336</v>
      </c>
      <c r="J264" s="27" t="s">
        <v>3</v>
      </c>
      <c r="K264" s="27"/>
      <c r="L264" s="27"/>
      <c r="M264" s="27"/>
      <c r="N264" s="27"/>
      <c r="O264" s="27"/>
      <c r="P264" s="27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</row>
    <row r="265" spans="2:28" x14ac:dyDescent="0.2">
      <c r="B265" s="59"/>
      <c r="D265" s="29"/>
      <c r="E265" s="154" t="s">
        <v>793</v>
      </c>
      <c r="F265" s="153">
        <f>16.6+19.39+1.04-0.64</f>
        <v>36.39</v>
      </c>
      <c r="G265" s="153">
        <v>11.13</v>
      </c>
      <c r="H265" s="153">
        <v>4.2699999999999996</v>
      </c>
      <c r="I265" s="153">
        <v>2.81</v>
      </c>
      <c r="J265" s="153">
        <v>4.42</v>
      </c>
      <c r="K265" s="27"/>
      <c r="L265" s="27"/>
      <c r="M265" s="27"/>
      <c r="N265" s="27"/>
      <c r="O265" s="27"/>
      <c r="P265" s="27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</row>
    <row r="266" spans="2:28" x14ac:dyDescent="0.2">
      <c r="B266" s="59"/>
      <c r="D266" s="29"/>
      <c r="E266" s="29"/>
      <c r="F266" s="29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</row>
    <row r="267" spans="2:28" x14ac:dyDescent="0.2">
      <c r="B267" s="59"/>
      <c r="D267" s="29"/>
      <c r="E267" s="29"/>
      <c r="F267" s="29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</row>
    <row r="268" spans="2:28" x14ac:dyDescent="0.2">
      <c r="B268" s="59"/>
      <c r="D268" s="29"/>
      <c r="E268" s="29"/>
      <c r="F268" s="29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</row>
    <row r="269" spans="2:28" x14ac:dyDescent="0.2">
      <c r="B269" s="59"/>
      <c r="D269" s="29"/>
      <c r="E269" s="29"/>
      <c r="F269" s="29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</row>
    <row r="270" spans="2:28" x14ac:dyDescent="0.2">
      <c r="B270" s="59"/>
      <c r="D270" s="29"/>
      <c r="E270" s="29"/>
      <c r="F270" s="29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</row>
    <row r="271" spans="2:28" x14ac:dyDescent="0.2">
      <c r="B271" s="59" t="s">
        <v>1033</v>
      </c>
      <c r="C271" s="59" t="s">
        <v>1027</v>
      </c>
      <c r="D271" s="29"/>
      <c r="E271" s="29"/>
      <c r="F271" s="29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</row>
    <row r="272" spans="2:28" x14ac:dyDescent="0.2">
      <c r="B272" s="59" t="s">
        <v>1033</v>
      </c>
      <c r="C272" s="59" t="s">
        <v>1028</v>
      </c>
      <c r="D272" s="29"/>
      <c r="E272" s="29"/>
      <c r="F272" s="29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</row>
    <row r="273" spans="2:28" x14ac:dyDescent="0.2">
      <c r="B273" s="59" t="s">
        <v>1033</v>
      </c>
      <c r="C273" s="59" t="s">
        <v>1030</v>
      </c>
      <c r="D273" s="29"/>
      <c r="E273" s="29"/>
      <c r="F273" s="29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</row>
    <row r="274" spans="2:28" x14ac:dyDescent="0.2">
      <c r="B274" s="59" t="s">
        <v>7</v>
      </c>
      <c r="C274" s="59" t="s">
        <v>1038</v>
      </c>
      <c r="D274" s="29"/>
      <c r="E274" s="29"/>
      <c r="F274" s="29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</row>
    <row r="275" spans="2:28" x14ac:dyDescent="0.2">
      <c r="B275" s="68" t="s">
        <v>984</v>
      </c>
      <c r="C275" s="59" t="s">
        <v>1219</v>
      </c>
      <c r="D275" s="29"/>
      <c r="E275" s="29"/>
      <c r="F275" s="29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</row>
    <row r="276" spans="2:28" x14ac:dyDescent="0.2">
      <c r="B276" s="68" t="s">
        <v>793</v>
      </c>
      <c r="C276" s="59" t="s">
        <v>1255</v>
      </c>
      <c r="D276" s="29"/>
      <c r="E276" s="29"/>
      <c r="F276" s="29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</row>
    <row r="277" spans="2:28" x14ac:dyDescent="0.2">
      <c r="B277" s="58"/>
      <c r="C277" s="29"/>
      <c r="D277" s="29"/>
      <c r="E277" s="29"/>
      <c r="F277" s="29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</row>
    <row r="278" spans="2:28" ht="15" x14ac:dyDescent="0.25">
      <c r="B278" s="48" t="s">
        <v>1037</v>
      </c>
      <c r="C278" s="29"/>
      <c r="D278" s="29"/>
      <c r="E278" s="29"/>
      <c r="F278" s="29" t="s">
        <v>1056</v>
      </c>
      <c r="G278" s="27" t="s">
        <v>7</v>
      </c>
      <c r="H278" s="27" t="s">
        <v>8</v>
      </c>
      <c r="I278" s="27" t="s">
        <v>1059</v>
      </c>
      <c r="J278" s="27" t="s">
        <v>1034</v>
      </c>
      <c r="K278" s="27" t="s">
        <v>1055</v>
      </c>
      <c r="M278" s="27"/>
      <c r="N278" s="27"/>
      <c r="O278" s="27"/>
      <c r="P278" s="27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</row>
    <row r="279" spans="2:28" x14ac:dyDescent="0.2">
      <c r="B279" s="58"/>
      <c r="C279" s="29"/>
      <c r="D279" s="29"/>
      <c r="E279" t="s">
        <v>1057</v>
      </c>
      <c r="F279" s="6">
        <f>M689</f>
        <v>39</v>
      </c>
      <c r="G279" s="4">
        <f>M636</f>
        <v>14</v>
      </c>
      <c r="H279" s="4">
        <f>M641</f>
        <v>3</v>
      </c>
      <c r="I279" s="4">
        <f>M651</f>
        <v>6</v>
      </c>
      <c r="J279" s="30">
        <f>M646</f>
        <v>4</v>
      </c>
      <c r="K279" t="s">
        <v>3</v>
      </c>
      <c r="M279" s="27"/>
      <c r="N279" s="27"/>
      <c r="O279" s="27"/>
      <c r="P279" s="27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</row>
    <row r="280" spans="2:28" x14ac:dyDescent="0.2">
      <c r="B280" s="58"/>
      <c r="C280" s="29"/>
      <c r="D280" s="29"/>
      <c r="E280" t="s">
        <v>1031</v>
      </c>
      <c r="F280" s="30">
        <f>M887+M888</f>
        <v>39.6</v>
      </c>
      <c r="G280" s="30">
        <f>M891</f>
        <v>14.18</v>
      </c>
      <c r="H280" s="30">
        <f>M890</f>
        <v>4.04</v>
      </c>
      <c r="I280" s="27" t="s">
        <v>3</v>
      </c>
      <c r="J280" s="27" t="s">
        <v>3</v>
      </c>
      <c r="K280" s="30">
        <f>M889</f>
        <v>9.3000000000000007</v>
      </c>
      <c r="M280" s="27"/>
      <c r="N280" s="27"/>
      <c r="O280" s="27"/>
      <c r="P280" s="27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</row>
    <row r="281" spans="2:28" x14ac:dyDescent="0.2">
      <c r="B281" s="58"/>
      <c r="C281" s="29"/>
      <c r="D281" s="29"/>
      <c r="E281" t="s">
        <v>1032</v>
      </c>
      <c r="F281" s="29">
        <f>M1660+M1681</f>
        <v>36.61</v>
      </c>
      <c r="G281" s="30">
        <f>M1671</f>
        <v>11.12</v>
      </c>
      <c r="H281" s="30">
        <f>M1672</f>
        <v>4.26</v>
      </c>
      <c r="I281" s="30">
        <f>M1673+M1675+M1676+M1677+0.5*(M1678+M1679)</f>
        <v>3.7850000000000001</v>
      </c>
      <c r="J281" s="30">
        <f>M1674</f>
        <v>4.3899999999999997</v>
      </c>
      <c r="K281" s="27" t="s">
        <v>3</v>
      </c>
      <c r="M281" s="27"/>
      <c r="N281" s="27"/>
      <c r="O281" s="27"/>
      <c r="P281" s="27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2:28" x14ac:dyDescent="0.2">
      <c r="B282" s="58"/>
      <c r="C282" s="29"/>
      <c r="D282" s="29"/>
      <c r="E282" t="s">
        <v>916</v>
      </c>
      <c r="F282" s="83">
        <f>R117</f>
        <v>34.506</v>
      </c>
      <c r="G282" s="30">
        <f>M1126</f>
        <v>19</v>
      </c>
      <c r="H282" s="30">
        <f>M1125</f>
        <v>4</v>
      </c>
      <c r="I282" s="30">
        <f>M1127</f>
        <v>6.4</v>
      </c>
      <c r="J282" s="30">
        <f>M1128</f>
        <v>3.8</v>
      </c>
      <c r="K282" s="27" t="s">
        <v>3</v>
      </c>
      <c r="M282" s="27"/>
      <c r="N282" s="27"/>
      <c r="O282" s="27"/>
      <c r="P282" s="27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</row>
    <row r="283" spans="2:28" x14ac:dyDescent="0.2">
      <c r="B283" s="58"/>
      <c r="C283" s="29"/>
      <c r="D283" s="29"/>
      <c r="E283" t="s">
        <v>917</v>
      </c>
      <c r="F283" s="30">
        <f>M1019+M1020</f>
        <v>33.72</v>
      </c>
      <c r="G283" s="30">
        <f>M1021</f>
        <v>20.45</v>
      </c>
      <c r="H283" s="30">
        <f>M1022</f>
        <v>7.11</v>
      </c>
      <c r="I283" s="30">
        <f>M1024+M1025+M1026</f>
        <v>5.3100000000000005</v>
      </c>
      <c r="J283" s="30">
        <f>M1027</f>
        <v>5.88</v>
      </c>
      <c r="K283" s="27" t="s">
        <v>3</v>
      </c>
      <c r="M283" s="27"/>
      <c r="N283" s="27"/>
      <c r="O283" s="27"/>
      <c r="P283" s="27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</row>
    <row r="284" spans="2:28" x14ac:dyDescent="0.2">
      <c r="B284" s="58"/>
      <c r="C284" s="29"/>
      <c r="D284" s="29"/>
      <c r="E284" s="29" t="s">
        <v>1221</v>
      </c>
      <c r="F284" s="30">
        <f>M2857</f>
        <v>37.990010727682019</v>
      </c>
      <c r="G284" s="30">
        <f>M2956</f>
        <v>9.2161754103737223</v>
      </c>
      <c r="H284" s="30">
        <f>M2957</f>
        <v>2.4133333333333336</v>
      </c>
      <c r="I284" s="30">
        <f>1/2*M2958+M2959</f>
        <v>4.7670555555555554</v>
      </c>
      <c r="J284" s="30">
        <f>M2955</f>
        <v>3.9390873333333332</v>
      </c>
      <c r="K284" s="27"/>
      <c r="M284" s="27"/>
      <c r="N284" s="27"/>
      <c r="O284" s="27"/>
      <c r="P284" s="27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</row>
    <row r="285" spans="2:28" x14ac:dyDescent="0.2">
      <c r="B285" s="58"/>
      <c r="C285" s="29"/>
      <c r="D285" s="29"/>
      <c r="E285" s="59" t="s">
        <v>1217</v>
      </c>
      <c r="F285" s="30">
        <f>M3134</f>
        <v>38.112777777777772</v>
      </c>
      <c r="G285" s="30">
        <f>M3140</f>
        <v>13.692388888888885</v>
      </c>
      <c r="H285" s="30">
        <f>M3139</f>
        <v>4.1998611111111108</v>
      </c>
      <c r="I285" s="30">
        <f>L3138</f>
        <v>3.0591944444444441</v>
      </c>
      <c r="J285" s="30" t="s">
        <v>3</v>
      </c>
      <c r="K285" s="27"/>
      <c r="M285" s="27"/>
      <c r="N285" s="27"/>
      <c r="O285" s="27"/>
      <c r="P285" s="27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</row>
    <row r="286" spans="2:28" x14ac:dyDescent="0.2">
      <c r="B286" s="58"/>
      <c r="C286" s="29"/>
      <c r="D286" s="29"/>
      <c r="E286" s="154" t="s">
        <v>793</v>
      </c>
      <c r="F286" s="153">
        <f>16.6+19.39+1.04-0.64</f>
        <v>36.39</v>
      </c>
      <c r="G286" s="153">
        <v>11.13</v>
      </c>
      <c r="H286" s="153">
        <v>4.2699999999999996</v>
      </c>
      <c r="I286" s="153">
        <v>2.81</v>
      </c>
      <c r="J286" s="153">
        <v>4.42</v>
      </c>
      <c r="K286" s="27"/>
      <c r="L286" s="27"/>
      <c r="M286" s="27"/>
      <c r="N286" s="27"/>
      <c r="O286" s="27"/>
      <c r="P286" s="27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</row>
    <row r="287" spans="2:28" x14ac:dyDescent="0.2">
      <c r="C287" s="29"/>
      <c r="D287" s="29"/>
      <c r="E287" s="29"/>
      <c r="F287" s="29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</row>
    <row r="288" spans="2:28" ht="15" x14ac:dyDescent="0.25">
      <c r="B288" s="48" t="s">
        <v>1058</v>
      </c>
      <c r="C288" s="29"/>
      <c r="D288" s="29"/>
      <c r="E288" s="29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</row>
    <row r="289" spans="2:29" ht="15" x14ac:dyDescent="0.25">
      <c r="B289" s="48"/>
      <c r="C289" s="29"/>
      <c r="D289" s="29"/>
      <c r="E289" s="29"/>
      <c r="F289" s="29" t="s">
        <v>1064</v>
      </c>
      <c r="G289" s="27" t="s">
        <v>7</v>
      </c>
      <c r="H289" s="27" t="s">
        <v>8</v>
      </c>
      <c r="I289" s="27" t="s">
        <v>984</v>
      </c>
      <c r="J289" s="27" t="s">
        <v>1034</v>
      </c>
      <c r="K289" s="27"/>
      <c r="L289" s="27"/>
      <c r="M289" s="27"/>
      <c r="N289" s="27"/>
      <c r="O289" s="27"/>
      <c r="P289" s="27"/>
      <c r="Q289" s="27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</row>
    <row r="290" spans="2:29" ht="15" x14ac:dyDescent="0.25">
      <c r="B290" s="48"/>
      <c r="C290" s="29"/>
      <c r="D290" s="29"/>
      <c r="E290" s="29" t="s">
        <v>1326</v>
      </c>
      <c r="F290" s="30">
        <f>F258</f>
        <v>6</v>
      </c>
      <c r="G290" s="27">
        <f>G258</f>
        <v>20</v>
      </c>
      <c r="H290" s="27">
        <f>H258</f>
        <v>4</v>
      </c>
      <c r="I290" s="27">
        <f>I258</f>
        <v>8</v>
      </c>
      <c r="J290" s="27">
        <f>J258</f>
        <v>8</v>
      </c>
      <c r="L290" s="27"/>
      <c r="M290" s="27"/>
      <c r="N290" s="27"/>
      <c r="O290" s="27"/>
      <c r="P290" s="27"/>
      <c r="Q290" s="27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</row>
    <row r="291" spans="2:29" ht="15" x14ac:dyDescent="0.25">
      <c r="B291" s="48"/>
      <c r="C291" s="29"/>
      <c r="D291" s="29"/>
      <c r="E291" s="29" t="s">
        <v>1327</v>
      </c>
      <c r="F291" s="30">
        <f>F279-N67</f>
        <v>4.0439999999999969</v>
      </c>
      <c r="G291" s="27">
        <f>G279</f>
        <v>14</v>
      </c>
      <c r="H291" s="27">
        <f>H279</f>
        <v>3</v>
      </c>
      <c r="I291" s="27">
        <f>I279</f>
        <v>6</v>
      </c>
      <c r="J291" s="27">
        <f>J279</f>
        <v>4</v>
      </c>
      <c r="K291" s="27"/>
      <c r="L291" s="27"/>
      <c r="M291" s="27"/>
      <c r="N291" s="27"/>
      <c r="O291" s="27"/>
      <c r="P291" s="27"/>
      <c r="Q291" s="27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</row>
    <row r="292" spans="2:29" ht="15" x14ac:dyDescent="0.25">
      <c r="B292" s="48"/>
      <c r="C292" s="29"/>
      <c r="D292" s="29"/>
      <c r="E292" s="29" t="s">
        <v>1060</v>
      </c>
      <c r="F292" s="30">
        <f>F293</f>
        <v>4.6439999999999984</v>
      </c>
      <c r="G292" s="27">
        <f t="shared" ref="G292" si="322">G259</f>
        <v>18</v>
      </c>
      <c r="H292" s="27">
        <f t="shared" ref="H292" si="323">H259</f>
        <v>4</v>
      </c>
      <c r="I292" s="27">
        <f t="shared" ref="I292" si="324">I259</f>
        <v>4</v>
      </c>
      <c r="J292" s="27">
        <f t="shared" ref="J292" si="325">J259</f>
        <v>4</v>
      </c>
      <c r="L292" s="27"/>
      <c r="M292" s="27"/>
      <c r="N292" s="27"/>
      <c r="O292" s="27"/>
      <c r="P292" s="27"/>
      <c r="Q292" s="27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</row>
    <row r="293" spans="2:29" ht="15" x14ac:dyDescent="0.25">
      <c r="B293" s="48"/>
      <c r="C293" s="29"/>
      <c r="D293" s="29"/>
      <c r="E293" s="29" t="s">
        <v>1066</v>
      </c>
      <c r="F293" s="30">
        <f>F280-N67</f>
        <v>4.6439999999999984</v>
      </c>
      <c r="G293" s="27">
        <f>G280</f>
        <v>14.18</v>
      </c>
      <c r="H293" s="27">
        <f>H280</f>
        <v>4.04</v>
      </c>
      <c r="I293" s="27">
        <f>I292</f>
        <v>4</v>
      </c>
      <c r="J293" s="27">
        <f>J292</f>
        <v>4</v>
      </c>
      <c r="K293" s="27"/>
      <c r="L293" s="27"/>
      <c r="M293" s="27"/>
      <c r="N293" s="27"/>
      <c r="O293" s="27"/>
      <c r="P293" s="27"/>
      <c r="Q293" s="27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</row>
    <row r="294" spans="2:29" ht="15" x14ac:dyDescent="0.25">
      <c r="B294" s="48"/>
      <c r="C294" s="29"/>
      <c r="D294" s="29"/>
      <c r="E294" s="29" t="s">
        <v>1061</v>
      </c>
      <c r="F294" s="30">
        <f>F260</f>
        <v>8.5500000000000007</v>
      </c>
      <c r="G294" s="27">
        <f>G260</f>
        <v>11.036</v>
      </c>
      <c r="H294" s="27">
        <f>H260</f>
        <v>4.2220000000000004</v>
      </c>
      <c r="I294" s="27">
        <f>I260</f>
        <v>2.9510000000000001</v>
      </c>
      <c r="J294" s="27">
        <f>J260</f>
        <v>4.3840000000000003</v>
      </c>
      <c r="L294" s="27"/>
      <c r="M294" s="27"/>
      <c r="N294" s="27"/>
      <c r="O294" s="27"/>
      <c r="P294" s="27"/>
      <c r="Q294" s="27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</row>
    <row r="295" spans="2:29" ht="15" x14ac:dyDescent="0.25">
      <c r="B295" s="48"/>
      <c r="C295" s="29"/>
      <c r="D295" s="29"/>
      <c r="E295" s="59" t="s">
        <v>1065</v>
      </c>
      <c r="F295" s="30">
        <f>F281-N67</f>
        <v>1.6539999999999964</v>
      </c>
      <c r="G295" s="27">
        <f>G281</f>
        <v>11.12</v>
      </c>
      <c r="H295" s="27">
        <f>H281</f>
        <v>4.26</v>
      </c>
      <c r="I295" s="27">
        <f>I281</f>
        <v>3.7850000000000001</v>
      </c>
      <c r="J295" s="27">
        <f>J281</f>
        <v>4.3899999999999997</v>
      </c>
      <c r="K295" s="27"/>
      <c r="L295" s="27"/>
      <c r="M295" s="27"/>
      <c r="N295" s="27"/>
      <c r="O295" s="27"/>
      <c r="P295" s="27"/>
      <c r="Q295" s="27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</row>
    <row r="296" spans="2:29" ht="15" x14ac:dyDescent="0.25">
      <c r="B296" s="48"/>
      <c r="C296" s="29"/>
      <c r="D296" s="29"/>
      <c r="E296" s="29" t="s">
        <v>1062</v>
      </c>
      <c r="F296" s="30">
        <f>F261</f>
        <v>1</v>
      </c>
      <c r="G296" s="27">
        <f>G261</f>
        <v>30</v>
      </c>
      <c r="H296" s="27">
        <f>H261</f>
        <v>4</v>
      </c>
      <c r="I296" s="27">
        <f>I261</f>
        <v>6.4</v>
      </c>
      <c r="J296" s="27">
        <f>J261</f>
        <v>3.8</v>
      </c>
      <c r="L296" s="27"/>
      <c r="M296" s="27"/>
      <c r="N296" s="27"/>
      <c r="O296" s="27"/>
      <c r="P296" s="27"/>
      <c r="Q296" s="27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</row>
    <row r="297" spans="2:29" ht="15" x14ac:dyDescent="0.25">
      <c r="B297" s="48"/>
      <c r="C297" s="29"/>
      <c r="D297" s="29"/>
      <c r="E297" s="59" t="s">
        <v>1063</v>
      </c>
      <c r="F297" s="30">
        <f>F296</f>
        <v>1</v>
      </c>
      <c r="G297" s="27">
        <f>G282</f>
        <v>19</v>
      </c>
      <c r="H297" s="27">
        <f>H282</f>
        <v>4</v>
      </c>
      <c r="I297" s="27">
        <f>I282</f>
        <v>6.4</v>
      </c>
      <c r="J297" s="27">
        <f>J282</f>
        <v>3.8</v>
      </c>
      <c r="K297" s="27"/>
      <c r="L297" s="27"/>
      <c r="M297" s="27"/>
      <c r="N297" s="27"/>
      <c r="O297" s="27"/>
      <c r="P297" s="27"/>
      <c r="Q297" s="27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</row>
    <row r="298" spans="2:29" ht="15" x14ac:dyDescent="0.25">
      <c r="B298" s="48"/>
      <c r="C298" s="29"/>
      <c r="D298" s="29"/>
      <c r="E298" s="29" t="s">
        <v>1068</v>
      </c>
      <c r="F298" s="30">
        <f>F262</f>
        <v>1.7478000000000002</v>
      </c>
      <c r="G298" s="27">
        <f>G262</f>
        <v>20.45</v>
      </c>
      <c r="H298" s="27">
        <f>H262</f>
        <v>7.11</v>
      </c>
      <c r="I298" s="27">
        <f>I262</f>
        <v>3.69</v>
      </c>
      <c r="J298" s="27">
        <f>J262</f>
        <v>8</v>
      </c>
      <c r="L298" s="27"/>
      <c r="M298" s="27"/>
      <c r="N298" s="27"/>
      <c r="O298" s="27"/>
      <c r="Q298" s="27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</row>
    <row r="299" spans="2:29" ht="15" x14ac:dyDescent="0.25">
      <c r="B299" s="48"/>
      <c r="C299" s="29"/>
      <c r="D299" s="29"/>
      <c r="E299" s="59" t="s">
        <v>1067</v>
      </c>
      <c r="F299" s="30">
        <f>F298</f>
        <v>1.7478000000000002</v>
      </c>
      <c r="G299" s="27">
        <f>G283</f>
        <v>20.45</v>
      </c>
      <c r="H299" s="27">
        <f>H283</f>
        <v>7.11</v>
      </c>
      <c r="I299" s="27">
        <f>I283</f>
        <v>5.3100000000000005</v>
      </c>
      <c r="J299" s="27">
        <f>J283</f>
        <v>5.88</v>
      </c>
      <c r="K299" s="83"/>
      <c r="L299" s="27"/>
      <c r="M299" s="27"/>
      <c r="N299" s="27"/>
      <c r="O299" s="27"/>
      <c r="P299" s="27"/>
      <c r="Q299" s="27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</row>
    <row r="300" spans="2:29" ht="15" x14ac:dyDescent="0.25">
      <c r="B300" s="48"/>
      <c r="C300" s="29"/>
      <c r="D300" s="29"/>
      <c r="E300" s="29" t="s">
        <v>1322</v>
      </c>
      <c r="F300" s="30">
        <f>F263</f>
        <v>3.3439999999999941</v>
      </c>
      <c r="G300" s="30">
        <f t="shared" ref="G300:J300" si="326">G263</f>
        <v>9.6999999999999993</v>
      </c>
      <c r="H300" s="30">
        <f t="shared" si="326"/>
        <v>2.6</v>
      </c>
      <c r="I300" s="30">
        <f t="shared" si="326"/>
        <v>4.9000000000000004</v>
      </c>
      <c r="J300" s="30">
        <f t="shared" si="326"/>
        <v>4.4000000000000004</v>
      </c>
      <c r="K300" s="27"/>
      <c r="L300" s="27"/>
      <c r="M300" s="27"/>
      <c r="N300" s="27"/>
      <c r="O300" s="27"/>
      <c r="P300" s="27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</row>
    <row r="301" spans="2:29" ht="15" x14ac:dyDescent="0.25">
      <c r="B301" s="48"/>
      <c r="C301" s="29"/>
      <c r="D301" s="29"/>
      <c r="E301" s="29" t="s">
        <v>1325</v>
      </c>
      <c r="F301" s="30">
        <f>F284-N67</f>
        <v>3.0340107276820163</v>
      </c>
      <c r="G301" s="30">
        <f>G284</f>
        <v>9.2161754103737223</v>
      </c>
      <c r="H301" s="30">
        <f t="shared" ref="H301:J301" si="327">H284</f>
        <v>2.4133333333333336</v>
      </c>
      <c r="I301" s="30">
        <f t="shared" si="327"/>
        <v>4.7670555555555554</v>
      </c>
      <c r="J301" s="30">
        <f t="shared" si="327"/>
        <v>3.9390873333333332</v>
      </c>
      <c r="K301" s="27"/>
      <c r="L301" s="27"/>
      <c r="M301" s="27"/>
      <c r="N301" s="27"/>
      <c r="O301" s="27"/>
      <c r="P301" s="27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</row>
    <row r="302" spans="2:29" ht="15" x14ac:dyDescent="0.25">
      <c r="B302" s="48"/>
      <c r="C302" s="29"/>
      <c r="D302" s="29"/>
      <c r="E302" s="59" t="s">
        <v>1323</v>
      </c>
      <c r="F302" s="30">
        <f>F264</f>
        <v>3.1439999999999984</v>
      </c>
      <c r="G302" s="30">
        <f t="shared" ref="G302:I302" si="328">G264</f>
        <v>13.7</v>
      </c>
      <c r="H302" s="30">
        <f t="shared" si="328"/>
        <v>4.2</v>
      </c>
      <c r="I302" s="30">
        <f t="shared" si="328"/>
        <v>9.1208333333333336</v>
      </c>
      <c r="J302" s="30"/>
      <c r="K302" s="27"/>
      <c r="L302" s="27"/>
      <c r="M302" s="27"/>
      <c r="N302" s="27"/>
      <c r="O302" s="27"/>
      <c r="P302" s="27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</row>
    <row r="303" spans="2:29" x14ac:dyDescent="0.2">
      <c r="B303" s="58"/>
      <c r="C303" s="29"/>
      <c r="D303" s="29"/>
      <c r="E303" s="59" t="s">
        <v>1324</v>
      </c>
      <c r="F303" s="30">
        <f>F285-N67</f>
        <v>3.1567777777777692</v>
      </c>
      <c r="G303" s="30">
        <f>G285</f>
        <v>13.692388888888885</v>
      </c>
      <c r="H303" s="30">
        <f t="shared" ref="H303:I303" si="329">H285</f>
        <v>4.1998611111111108</v>
      </c>
      <c r="I303" s="30">
        <f t="shared" si="329"/>
        <v>3.0591944444444441</v>
      </c>
      <c r="J303" s="27"/>
      <c r="K303" s="27"/>
      <c r="L303" s="27"/>
      <c r="M303" s="27"/>
      <c r="N303" s="27"/>
      <c r="O303" s="27"/>
      <c r="P303" s="27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</row>
    <row r="304" spans="2:29" x14ac:dyDescent="0.2">
      <c r="B304" s="58"/>
      <c r="C304" s="29"/>
      <c r="D304" s="29"/>
      <c r="E304" s="59" t="s">
        <v>1330</v>
      </c>
      <c r="F304" s="30">
        <f>F265-N67</f>
        <v>1.4339999999999975</v>
      </c>
      <c r="G304" s="30">
        <f>G265</f>
        <v>11.13</v>
      </c>
      <c r="H304" s="30">
        <f t="shared" ref="H304:J304" si="330">H265</f>
        <v>4.2699999999999996</v>
      </c>
      <c r="I304" s="30">
        <f t="shared" si="330"/>
        <v>2.81</v>
      </c>
      <c r="J304" s="30">
        <f t="shared" si="330"/>
        <v>4.42</v>
      </c>
      <c r="K304" s="27"/>
      <c r="L304" s="27"/>
      <c r="M304" s="27"/>
      <c r="N304" s="27"/>
      <c r="O304" s="27"/>
      <c r="P304" s="27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</row>
    <row r="305" spans="2:28" x14ac:dyDescent="0.2">
      <c r="B305" s="58"/>
      <c r="C305" s="29"/>
      <c r="D305" s="29"/>
      <c r="E305" s="59" t="s">
        <v>1329</v>
      </c>
      <c r="F305" s="30">
        <f>F286-N67</f>
        <v>1.4339999999999975</v>
      </c>
      <c r="G305" s="30">
        <f>G286</f>
        <v>11.13</v>
      </c>
      <c r="H305" s="30">
        <f t="shared" ref="H305:J305" si="331">H286</f>
        <v>4.2699999999999996</v>
      </c>
      <c r="I305" s="30">
        <f t="shared" si="331"/>
        <v>2.81</v>
      </c>
      <c r="J305" s="30">
        <f t="shared" si="331"/>
        <v>4.42</v>
      </c>
      <c r="K305" s="27"/>
      <c r="L305" s="27"/>
      <c r="M305" s="27"/>
      <c r="N305" s="27"/>
      <c r="O305" s="27"/>
      <c r="P305" s="27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</row>
    <row r="306" spans="2:28" x14ac:dyDescent="0.2">
      <c r="B306" s="58"/>
      <c r="C306" s="29"/>
      <c r="D306" s="29"/>
      <c r="E306" s="154" t="s">
        <v>1328</v>
      </c>
      <c r="F306" s="30">
        <f>F305</f>
        <v>1.4339999999999975</v>
      </c>
      <c r="G306" s="27">
        <f>8.97+11.68</f>
        <v>20.65</v>
      </c>
      <c r="H306" s="27">
        <f>6.75</f>
        <v>6.75</v>
      </c>
      <c r="I306" s="27">
        <f>I305</f>
        <v>2.81</v>
      </c>
      <c r="J306" s="27">
        <f>J305</f>
        <v>4.42</v>
      </c>
      <c r="K306" s="27"/>
      <c r="L306" s="27"/>
      <c r="M306" s="27"/>
      <c r="N306" s="27"/>
      <c r="O306" s="27"/>
      <c r="P306" s="27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</row>
    <row r="307" spans="2:28" x14ac:dyDescent="0.2">
      <c r="B307" s="58"/>
      <c r="C307" s="29"/>
      <c r="D307" s="29"/>
      <c r="E307" s="29"/>
      <c r="F307" s="29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</row>
    <row r="308" spans="2:28" x14ac:dyDescent="0.2">
      <c r="B308" s="58"/>
      <c r="C308" s="29"/>
      <c r="D308" s="29"/>
      <c r="E308" s="29"/>
      <c r="F308" s="29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</row>
    <row r="309" spans="2:28" x14ac:dyDescent="0.2">
      <c r="B309" s="58"/>
      <c r="C309" s="29"/>
      <c r="D309" s="29"/>
      <c r="E309" s="29"/>
      <c r="F309" s="29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</row>
    <row r="310" spans="2:28" x14ac:dyDescent="0.2">
      <c r="B310" s="58"/>
      <c r="C310" s="29"/>
      <c r="D310" s="29"/>
      <c r="E310" s="29"/>
      <c r="F310" s="29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</row>
    <row r="311" spans="2:28" x14ac:dyDescent="0.2">
      <c r="B311" s="58"/>
      <c r="C311" s="29"/>
      <c r="D311" s="29"/>
      <c r="E311" s="29"/>
      <c r="F311" s="29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</row>
    <row r="312" spans="2:28" x14ac:dyDescent="0.2">
      <c r="B312" s="58"/>
      <c r="C312" s="29"/>
      <c r="D312" s="29"/>
      <c r="E312" s="29"/>
      <c r="F312" s="29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</row>
    <row r="313" spans="2:28" x14ac:dyDescent="0.2">
      <c r="B313" s="58"/>
      <c r="C313" s="29"/>
      <c r="D313" s="29"/>
      <c r="E313" s="29"/>
      <c r="F313" s="29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</row>
    <row r="314" spans="2:28" x14ac:dyDescent="0.2">
      <c r="B314" s="58"/>
      <c r="C314" s="29"/>
      <c r="D314" s="29"/>
      <c r="E314" s="29"/>
      <c r="F314" s="29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</row>
    <row r="315" spans="2:28" x14ac:dyDescent="0.2">
      <c r="B315" s="58"/>
      <c r="C315" s="29"/>
      <c r="D315" s="29"/>
      <c r="E315" s="29"/>
      <c r="F315" s="29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</row>
    <row r="316" spans="2:28" x14ac:dyDescent="0.2">
      <c r="B316" s="58"/>
      <c r="C316" s="29"/>
      <c r="D316" s="29"/>
      <c r="E316" s="29"/>
      <c r="F316" s="29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</row>
    <row r="317" spans="2:28" x14ac:dyDescent="0.2">
      <c r="B317" s="9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2:28" ht="15" x14ac:dyDescent="0.25">
      <c r="B318" s="2" t="s">
        <v>1008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2:28" ht="15" x14ac:dyDescent="0.25">
      <c r="B319" s="13" t="s">
        <v>125</v>
      </c>
      <c r="E319" s="2">
        <v>2011</v>
      </c>
      <c r="F319" s="2">
        <v>2015</v>
      </c>
      <c r="G319" s="2">
        <v>2020</v>
      </c>
      <c r="H319" s="2">
        <v>2025</v>
      </c>
      <c r="I319" s="2">
        <v>2030</v>
      </c>
      <c r="J319" s="2">
        <v>2035</v>
      </c>
      <c r="K319" s="2">
        <v>2040</v>
      </c>
      <c r="L319" s="2">
        <v>2045</v>
      </c>
      <c r="M319" s="2">
        <v>2050</v>
      </c>
      <c r="N319" s="25"/>
      <c r="O319" s="25"/>
      <c r="P319" s="25"/>
    </row>
    <row r="320" spans="2:28" x14ac:dyDescent="0.2">
      <c r="D320" t="s">
        <v>994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2:16" x14ac:dyDescent="0.2">
      <c r="D321" t="s">
        <v>987</v>
      </c>
      <c r="E321">
        <f>E971</f>
        <v>17</v>
      </c>
      <c r="F321">
        <f t="shared" ref="F321:M321" si="332">F971</f>
        <v>18.200000000000003</v>
      </c>
      <c r="G321">
        <f t="shared" si="332"/>
        <v>19.399999999999999</v>
      </c>
      <c r="H321">
        <f t="shared" si="332"/>
        <v>20.6</v>
      </c>
      <c r="I321">
        <f t="shared" si="332"/>
        <v>21.800000000000004</v>
      </c>
      <c r="J321">
        <f t="shared" si="332"/>
        <v>23</v>
      </c>
      <c r="K321">
        <f t="shared" si="332"/>
        <v>22.770000000000003</v>
      </c>
      <c r="L321">
        <f t="shared" si="332"/>
        <v>22.770000000000003</v>
      </c>
      <c r="M321">
        <f t="shared" si="332"/>
        <v>23</v>
      </c>
      <c r="N321" s="25"/>
      <c r="O321" s="25"/>
      <c r="P321" s="25"/>
    </row>
    <row r="322" spans="2:16" x14ac:dyDescent="0.2">
      <c r="D322" t="s">
        <v>927</v>
      </c>
      <c r="E322">
        <f t="shared" ref="E322:M323" si="333">E972</f>
        <v>17</v>
      </c>
      <c r="F322">
        <f t="shared" si="333"/>
        <v>18.400000000000002</v>
      </c>
      <c r="G322">
        <f t="shared" si="333"/>
        <v>19.8</v>
      </c>
      <c r="H322">
        <f t="shared" si="333"/>
        <v>21.2</v>
      </c>
      <c r="I322">
        <f t="shared" si="333"/>
        <v>22.6</v>
      </c>
      <c r="J322">
        <f t="shared" si="333"/>
        <v>24</v>
      </c>
      <c r="K322">
        <f t="shared" si="333"/>
        <v>24.09</v>
      </c>
      <c r="L322">
        <f t="shared" si="333"/>
        <v>24.42</v>
      </c>
      <c r="M322">
        <f t="shared" si="333"/>
        <v>25</v>
      </c>
      <c r="N322" s="25"/>
      <c r="O322" s="25"/>
      <c r="P322" s="25"/>
    </row>
    <row r="323" spans="2:16" x14ac:dyDescent="0.2">
      <c r="D323" t="s">
        <v>928</v>
      </c>
      <c r="E323">
        <f t="shared" si="333"/>
        <v>17</v>
      </c>
      <c r="F323">
        <f t="shared" si="333"/>
        <v>18.8</v>
      </c>
      <c r="G323">
        <f t="shared" si="333"/>
        <v>20.6</v>
      </c>
      <c r="H323">
        <f t="shared" si="333"/>
        <v>22.4</v>
      </c>
      <c r="I323">
        <f t="shared" si="333"/>
        <v>24.200000000000003</v>
      </c>
      <c r="J323">
        <f t="shared" si="333"/>
        <v>26</v>
      </c>
      <c r="K323">
        <f t="shared" si="333"/>
        <v>26.73</v>
      </c>
      <c r="L323">
        <f t="shared" si="333"/>
        <v>27.72</v>
      </c>
      <c r="M323">
        <f t="shared" si="333"/>
        <v>29</v>
      </c>
      <c r="N323" s="25"/>
      <c r="O323" s="25"/>
      <c r="P323" s="25"/>
    </row>
    <row r="324" spans="2:16" x14ac:dyDescent="0.2">
      <c r="D324" t="s">
        <v>1006</v>
      </c>
      <c r="E324" s="6">
        <f>E1496/1.08-2.43</f>
        <v>19.421851851851851</v>
      </c>
      <c r="F324" s="6">
        <f t="shared" ref="F324:M324" si="334">F1496/1.08-2.43</f>
        <v>20.394074074074073</v>
      </c>
      <c r="G324" s="6">
        <f t="shared" si="334"/>
        <v>21.366296296296294</v>
      </c>
      <c r="H324" s="6">
        <f t="shared" si="334"/>
        <v>22.338518518518516</v>
      </c>
      <c r="I324" s="6">
        <f t="shared" si="334"/>
        <v>23.310740740740741</v>
      </c>
      <c r="J324" s="6">
        <f t="shared" si="334"/>
        <v>24.69962962962963</v>
      </c>
      <c r="K324" s="6">
        <f t="shared" si="334"/>
        <v>24.144074074074073</v>
      </c>
      <c r="L324" s="6">
        <f t="shared" si="334"/>
        <v>24.190370370370371</v>
      </c>
      <c r="M324" s="6">
        <f t="shared" si="334"/>
        <v>24.236666666666665</v>
      </c>
      <c r="N324" s="25"/>
      <c r="O324" s="25"/>
      <c r="P324" s="25"/>
    </row>
    <row r="325" spans="2:16" x14ac:dyDescent="0.2">
      <c r="D325" t="s">
        <v>944</v>
      </c>
      <c r="E325" s="6">
        <f>E1497/1.08-2.43</f>
        <v>19.421851851851851</v>
      </c>
      <c r="F325" s="6">
        <f t="shared" ref="F325:M325" si="335">F1497/1.08-2.43</f>
        <v>21.042222222222222</v>
      </c>
      <c r="G325" s="6">
        <f t="shared" si="335"/>
        <v>22.662592592592592</v>
      </c>
      <c r="H325" s="6">
        <f t="shared" si="335"/>
        <v>24.282962962962962</v>
      </c>
      <c r="I325" s="6">
        <f t="shared" si="335"/>
        <v>25.903333333333332</v>
      </c>
      <c r="J325" s="6">
        <f t="shared" si="335"/>
        <v>27.292222222222222</v>
      </c>
      <c r="K325" s="6">
        <f t="shared" si="335"/>
        <v>27.477407407407402</v>
      </c>
      <c r="L325" s="6">
        <f t="shared" si="335"/>
        <v>28.07925925925926</v>
      </c>
      <c r="M325" s="6">
        <f t="shared" si="335"/>
        <v>28.681111111111111</v>
      </c>
      <c r="N325" s="25"/>
      <c r="O325" s="25"/>
      <c r="P325" s="25"/>
    </row>
    <row r="326" spans="2:16" x14ac:dyDescent="0.2">
      <c r="D326" t="s">
        <v>995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2:16" x14ac:dyDescent="0.2">
      <c r="D327" t="s">
        <v>917</v>
      </c>
      <c r="E327" s="20">
        <f>E321</f>
        <v>17</v>
      </c>
      <c r="G327" s="25"/>
      <c r="H327" s="25"/>
      <c r="I327" s="25"/>
      <c r="J327" s="25"/>
      <c r="K327" s="25"/>
      <c r="L327" s="25"/>
      <c r="M327" s="19">
        <f>E327*(1+M1000)</f>
        <v>22.1</v>
      </c>
      <c r="N327" s="25"/>
      <c r="O327" s="25"/>
      <c r="P327" s="25"/>
    </row>
    <row r="328" spans="2:16" x14ac:dyDescent="0.2">
      <c r="D328" t="s">
        <v>988</v>
      </c>
      <c r="G328" s="25"/>
      <c r="H328" s="25"/>
      <c r="I328" s="25"/>
      <c r="J328" s="25"/>
      <c r="K328" s="25"/>
      <c r="L328" s="25"/>
      <c r="M328" s="4">
        <f>M2742</f>
        <v>15.4</v>
      </c>
      <c r="N328" s="25"/>
      <c r="O328" s="25"/>
      <c r="P328" s="25"/>
    </row>
    <row r="329" spans="2:16" x14ac:dyDescent="0.2">
      <c r="D329" t="s">
        <v>989</v>
      </c>
      <c r="G329" s="25"/>
      <c r="H329" s="25"/>
      <c r="I329" s="25"/>
      <c r="J329" s="25"/>
      <c r="K329" s="25"/>
      <c r="L329" s="25"/>
      <c r="M329" s="4">
        <f>M2743</f>
        <v>15.957000000000001</v>
      </c>
      <c r="N329" s="25"/>
      <c r="O329" s="25"/>
      <c r="P329" s="25"/>
    </row>
    <row r="330" spans="2:16" x14ac:dyDescent="0.2">
      <c r="D330" t="s">
        <v>1009</v>
      </c>
      <c r="F330" s="4">
        <f>AVERAGE(F321:F325)</f>
        <v>19.36725925925926</v>
      </c>
      <c r="G330" s="4">
        <f t="shared" ref="G330:L330" si="336">AVERAGE(G321:G325)</f>
        <v>20.765777777777778</v>
      </c>
      <c r="H330" s="4">
        <f t="shared" si="336"/>
        <v>22.164296296296293</v>
      </c>
      <c r="I330" s="4">
        <f t="shared" si="336"/>
        <v>23.562814814814818</v>
      </c>
      <c r="J330" s="4">
        <f t="shared" si="336"/>
        <v>24.99837037037037</v>
      </c>
      <c r="K330" s="4">
        <f t="shared" si="336"/>
        <v>25.042296296296293</v>
      </c>
      <c r="L330" s="4">
        <f t="shared" si="336"/>
        <v>25.435925925925925</v>
      </c>
      <c r="M330" s="4">
        <f>AVERAGE(M321:M327)</f>
        <v>25.336296296296297</v>
      </c>
      <c r="N330" s="25"/>
      <c r="O330" s="25"/>
      <c r="P330" s="25"/>
    </row>
    <row r="331" spans="2:16" x14ac:dyDescent="0.2"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2:16" x14ac:dyDescent="0.2"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2:16" x14ac:dyDescent="0.2"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2:16" ht="15" x14ac:dyDescent="0.25">
      <c r="B334" s="2" t="s">
        <v>985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2:16" ht="15" x14ac:dyDescent="0.25">
      <c r="B335" s="13" t="s">
        <v>125</v>
      </c>
      <c r="D335" s="2">
        <v>2005</v>
      </c>
      <c r="E335" s="2">
        <v>2010</v>
      </c>
      <c r="F335" s="2">
        <v>2015</v>
      </c>
      <c r="G335" s="2">
        <v>2020</v>
      </c>
      <c r="H335" s="2">
        <v>2025</v>
      </c>
      <c r="I335" s="2">
        <v>2030</v>
      </c>
      <c r="J335" s="2">
        <v>2035</v>
      </c>
      <c r="K335" s="2">
        <v>2040</v>
      </c>
      <c r="L335" s="2">
        <v>2045</v>
      </c>
      <c r="M335" s="2">
        <v>2050</v>
      </c>
      <c r="N335" s="25"/>
      <c r="O335" s="25"/>
      <c r="P335" s="25"/>
    </row>
    <row r="336" spans="2:16" x14ac:dyDescent="0.2">
      <c r="C336" t="s">
        <v>1355</v>
      </c>
      <c r="E336">
        <f>E718</f>
        <v>8.1999999999999993</v>
      </c>
      <c r="F336">
        <f t="shared" ref="F336:M336" si="337">F718</f>
        <v>8.6499999999999986</v>
      </c>
      <c r="G336">
        <f t="shared" si="337"/>
        <v>9.1</v>
      </c>
      <c r="H336">
        <f t="shared" si="337"/>
        <v>9.9</v>
      </c>
      <c r="I336">
        <f t="shared" si="337"/>
        <v>9.8000000000000007</v>
      </c>
      <c r="J336">
        <f t="shared" si="337"/>
        <v>9.6999999999999993</v>
      </c>
      <c r="K336">
        <f t="shared" si="337"/>
        <v>9.6999999999999993</v>
      </c>
      <c r="L336">
        <f t="shared" si="337"/>
        <v>9.6999999999999993</v>
      </c>
      <c r="M336">
        <f t="shared" si="337"/>
        <v>9.6999999999999993</v>
      </c>
      <c r="N336" s="25"/>
      <c r="O336" s="25"/>
      <c r="P336" s="25"/>
    </row>
    <row r="337" spans="3:16" x14ac:dyDescent="0.2">
      <c r="C337" t="s">
        <v>926</v>
      </c>
      <c r="E337" s="1"/>
      <c r="F337" s="4">
        <f>F965</f>
        <v>8.19</v>
      </c>
      <c r="G337" s="4">
        <f t="shared" ref="G337:M337" si="338">G965</f>
        <v>9.23</v>
      </c>
      <c r="H337" s="4">
        <f t="shared" si="338"/>
        <v>10.27</v>
      </c>
      <c r="I337" s="4">
        <f t="shared" si="338"/>
        <v>11.635</v>
      </c>
      <c r="J337" s="4">
        <f t="shared" si="338"/>
        <v>13</v>
      </c>
      <c r="K337" s="4">
        <f t="shared" si="338"/>
        <v>12.6555</v>
      </c>
      <c r="L337" s="4">
        <f t="shared" si="338"/>
        <v>12.441000000000001</v>
      </c>
      <c r="M337" s="4">
        <f t="shared" si="338"/>
        <v>12.35</v>
      </c>
      <c r="N337" s="25"/>
      <c r="O337" s="25"/>
      <c r="P337" s="25"/>
    </row>
    <row r="338" spans="3:16" x14ac:dyDescent="0.2">
      <c r="C338" t="s">
        <v>927</v>
      </c>
      <c r="E338" s="1"/>
      <c r="F338" s="4">
        <f t="shared" ref="F338:M339" si="339">F966</f>
        <v>8.06</v>
      </c>
      <c r="G338" s="4">
        <f t="shared" si="339"/>
        <v>9.1</v>
      </c>
      <c r="H338" s="4">
        <f t="shared" si="339"/>
        <v>10.14</v>
      </c>
      <c r="I338" s="4">
        <f t="shared" si="339"/>
        <v>11.57</v>
      </c>
      <c r="J338" s="4">
        <f t="shared" si="339"/>
        <v>13</v>
      </c>
      <c r="K338" s="4">
        <f t="shared" si="339"/>
        <v>12.5268</v>
      </c>
      <c r="L338" s="4">
        <f t="shared" si="339"/>
        <v>12.1836</v>
      </c>
      <c r="M338" s="4">
        <f t="shared" si="339"/>
        <v>11.96</v>
      </c>
      <c r="N338" s="25"/>
      <c r="O338" s="25"/>
      <c r="P338" s="25"/>
    </row>
    <row r="339" spans="3:16" x14ac:dyDescent="0.2">
      <c r="C339" t="s">
        <v>928</v>
      </c>
      <c r="E339" s="1"/>
      <c r="F339" s="4">
        <f t="shared" si="339"/>
        <v>7.8000000000000007</v>
      </c>
      <c r="G339" s="4">
        <f t="shared" si="339"/>
        <v>8.7750000000000004</v>
      </c>
      <c r="H339" s="4">
        <f t="shared" si="339"/>
        <v>9.75</v>
      </c>
      <c r="I339" s="4">
        <f t="shared" si="339"/>
        <v>11.245000000000001</v>
      </c>
      <c r="J339" s="4">
        <f t="shared" si="339"/>
        <v>12.74</v>
      </c>
      <c r="K339" s="4">
        <f t="shared" si="339"/>
        <v>11.840400000000002</v>
      </c>
      <c r="L339" s="4">
        <f t="shared" si="339"/>
        <v>11.068200000000003</v>
      </c>
      <c r="M339" s="4">
        <f t="shared" si="339"/>
        <v>10.4</v>
      </c>
      <c r="N339" s="25"/>
      <c r="O339" s="25"/>
      <c r="P339" s="25"/>
    </row>
    <row r="340" spans="3:16" x14ac:dyDescent="0.2">
      <c r="C340" t="s">
        <v>941</v>
      </c>
      <c r="E340">
        <f t="shared" ref="E340:M340" si="340">E1442</f>
        <v>7</v>
      </c>
      <c r="F340">
        <f t="shared" si="340"/>
        <v>8</v>
      </c>
      <c r="G340">
        <f t="shared" si="340"/>
        <v>9</v>
      </c>
      <c r="H340">
        <f t="shared" si="340"/>
        <v>10.15</v>
      </c>
      <c r="I340">
        <f t="shared" si="340"/>
        <v>11.3</v>
      </c>
      <c r="J340">
        <f t="shared" si="340"/>
        <v>12.5</v>
      </c>
      <c r="K340">
        <f t="shared" si="340"/>
        <v>12.4</v>
      </c>
      <c r="L340">
        <f t="shared" si="340"/>
        <v>12.25</v>
      </c>
      <c r="M340">
        <f t="shared" si="340"/>
        <v>12.1</v>
      </c>
      <c r="N340" s="25"/>
      <c r="O340" s="25"/>
      <c r="P340" s="25"/>
    </row>
    <row r="341" spans="3:16" x14ac:dyDescent="0.2">
      <c r="C341" t="s">
        <v>942</v>
      </c>
      <c r="E341">
        <f t="shared" ref="E341:M341" si="341">E1449</f>
        <v>7</v>
      </c>
      <c r="F341">
        <f t="shared" si="341"/>
        <v>7.9</v>
      </c>
      <c r="G341">
        <f t="shared" si="341"/>
        <v>8.8000000000000007</v>
      </c>
      <c r="H341">
        <f t="shared" si="341"/>
        <v>9.8000000000000007</v>
      </c>
      <c r="I341">
        <f t="shared" si="341"/>
        <v>10.8</v>
      </c>
      <c r="J341">
        <f t="shared" si="341"/>
        <v>12.1</v>
      </c>
      <c r="K341">
        <f t="shared" si="341"/>
        <v>12.1</v>
      </c>
      <c r="L341">
        <f t="shared" si="341"/>
        <v>12.2</v>
      </c>
      <c r="M341">
        <f t="shared" si="341"/>
        <v>12.3</v>
      </c>
      <c r="N341" s="25"/>
      <c r="O341" s="25"/>
      <c r="P341" s="25"/>
    </row>
    <row r="342" spans="3:16" x14ac:dyDescent="0.2">
      <c r="C342" t="s">
        <v>943</v>
      </c>
      <c r="E342">
        <f t="shared" ref="E342:M342" si="342">E1456</f>
        <v>7</v>
      </c>
      <c r="F342">
        <f t="shared" si="342"/>
        <v>7.95</v>
      </c>
      <c r="G342">
        <f t="shared" si="342"/>
        <v>8.9</v>
      </c>
      <c r="H342">
        <f t="shared" si="342"/>
        <v>10.050000000000001</v>
      </c>
      <c r="I342">
        <f t="shared" si="342"/>
        <v>11.2</v>
      </c>
      <c r="J342">
        <f t="shared" si="342"/>
        <v>12.5</v>
      </c>
      <c r="K342">
        <f t="shared" si="342"/>
        <v>12.3</v>
      </c>
      <c r="L342">
        <f t="shared" si="342"/>
        <v>12.15</v>
      </c>
      <c r="M342">
        <f t="shared" si="342"/>
        <v>12</v>
      </c>
      <c r="N342" s="25"/>
      <c r="O342" s="25"/>
      <c r="P342" s="25"/>
    </row>
    <row r="343" spans="3:16" x14ac:dyDescent="0.2">
      <c r="C343" t="s">
        <v>944</v>
      </c>
      <c r="E343">
        <f t="shared" ref="E343:M343" si="343">E1463</f>
        <v>7</v>
      </c>
      <c r="F343">
        <f t="shared" si="343"/>
        <v>7.85</v>
      </c>
      <c r="G343">
        <f t="shared" si="343"/>
        <v>8.6999999999999993</v>
      </c>
      <c r="H343">
        <f t="shared" si="343"/>
        <v>9.6999999999999993</v>
      </c>
      <c r="I343">
        <f t="shared" si="343"/>
        <v>10.7</v>
      </c>
      <c r="J343">
        <f t="shared" si="343"/>
        <v>12</v>
      </c>
      <c r="K343">
        <f t="shared" si="343"/>
        <v>12</v>
      </c>
      <c r="L343">
        <f t="shared" si="343"/>
        <v>12.05</v>
      </c>
      <c r="M343">
        <f t="shared" si="343"/>
        <v>12.1</v>
      </c>
      <c r="N343" s="25"/>
      <c r="O343" s="25"/>
      <c r="P343" s="25"/>
    </row>
    <row r="344" spans="3:16" x14ac:dyDescent="0.2">
      <c r="C344" t="s">
        <v>945</v>
      </c>
      <c r="E344">
        <f t="shared" ref="E344:M344" si="344">E1470</f>
        <v>7</v>
      </c>
      <c r="F344">
        <f t="shared" si="344"/>
        <v>7.95</v>
      </c>
      <c r="G344">
        <f t="shared" si="344"/>
        <v>8.9</v>
      </c>
      <c r="H344">
        <f t="shared" si="344"/>
        <v>10</v>
      </c>
      <c r="I344">
        <f t="shared" si="344"/>
        <v>11.1</v>
      </c>
      <c r="J344">
        <f t="shared" si="344"/>
        <v>12.2</v>
      </c>
      <c r="K344">
        <f t="shared" si="344"/>
        <v>12</v>
      </c>
      <c r="L344">
        <f t="shared" si="344"/>
        <v>11.9</v>
      </c>
      <c r="M344">
        <f t="shared" si="344"/>
        <v>11.8</v>
      </c>
      <c r="N344" s="25"/>
      <c r="O344" s="25"/>
      <c r="P344" s="25"/>
    </row>
    <row r="345" spans="3:16" x14ac:dyDescent="0.2">
      <c r="C345" t="s">
        <v>946</v>
      </c>
      <c r="E345">
        <f t="shared" ref="E345:M345" si="345">E1477</f>
        <v>7</v>
      </c>
      <c r="F345">
        <f t="shared" si="345"/>
        <v>7.95</v>
      </c>
      <c r="G345">
        <f t="shared" si="345"/>
        <v>8.9</v>
      </c>
      <c r="H345">
        <f t="shared" si="345"/>
        <v>10.15</v>
      </c>
      <c r="I345">
        <f t="shared" si="345"/>
        <v>11.4</v>
      </c>
      <c r="J345">
        <f t="shared" si="345"/>
        <v>13</v>
      </c>
      <c r="K345">
        <f t="shared" si="345"/>
        <v>12.8</v>
      </c>
      <c r="L345">
        <f t="shared" si="345"/>
        <v>12.55</v>
      </c>
      <c r="M345">
        <f t="shared" si="345"/>
        <v>12.3</v>
      </c>
      <c r="N345" s="25"/>
      <c r="O345" s="25"/>
      <c r="P345" s="25"/>
    </row>
    <row r="346" spans="3:16" x14ac:dyDescent="0.2">
      <c r="C346" t="s">
        <v>947</v>
      </c>
      <c r="E346">
        <f t="shared" ref="E346:M346" si="346">E1484</f>
        <v>7</v>
      </c>
      <c r="F346">
        <f t="shared" si="346"/>
        <v>7.9</v>
      </c>
      <c r="G346">
        <f t="shared" si="346"/>
        <v>8.8000000000000007</v>
      </c>
      <c r="H346">
        <f t="shared" si="346"/>
        <v>9.9</v>
      </c>
      <c r="I346">
        <f t="shared" si="346"/>
        <v>11</v>
      </c>
      <c r="J346">
        <f t="shared" si="346"/>
        <v>12.9</v>
      </c>
      <c r="K346">
        <f t="shared" si="346"/>
        <v>12.9</v>
      </c>
      <c r="L346">
        <f t="shared" si="346"/>
        <v>12.95</v>
      </c>
      <c r="M346">
        <f t="shared" si="346"/>
        <v>13</v>
      </c>
      <c r="N346" s="25"/>
      <c r="O346" s="25"/>
      <c r="P346" s="25"/>
    </row>
    <row r="347" spans="3:16" x14ac:dyDescent="0.2">
      <c r="C347" t="s">
        <v>948</v>
      </c>
      <c r="E347">
        <f t="shared" ref="E347:M347" si="347">E1491</f>
        <v>7</v>
      </c>
      <c r="F347">
        <f t="shared" si="347"/>
        <v>7.95</v>
      </c>
      <c r="G347">
        <f t="shared" si="347"/>
        <v>8.9</v>
      </c>
      <c r="H347">
        <f t="shared" si="347"/>
        <v>10.050000000000001</v>
      </c>
      <c r="I347">
        <f t="shared" si="347"/>
        <v>11.2</v>
      </c>
      <c r="J347">
        <f t="shared" si="347"/>
        <v>12.4</v>
      </c>
      <c r="K347">
        <f t="shared" si="347"/>
        <v>12.1</v>
      </c>
      <c r="L347">
        <f t="shared" si="347"/>
        <v>12</v>
      </c>
      <c r="M347">
        <f t="shared" si="347"/>
        <v>11.9</v>
      </c>
      <c r="N347" s="25"/>
      <c r="O347" s="25"/>
      <c r="P347" s="25"/>
    </row>
    <row r="348" spans="3:16" x14ac:dyDescent="0.2">
      <c r="C348" t="s">
        <v>916</v>
      </c>
      <c r="E348" s="4">
        <f>100*E1214</f>
        <v>7.0000000000000009</v>
      </c>
      <c r="F348" s="4">
        <f t="shared" ref="F348:M348" si="348">100*F1214</f>
        <v>7.3</v>
      </c>
      <c r="G348" s="4">
        <f t="shared" si="348"/>
        <v>8</v>
      </c>
      <c r="H348" s="4">
        <f t="shared" si="348"/>
        <v>10</v>
      </c>
      <c r="I348" s="4">
        <f t="shared" si="348"/>
        <v>10.333333333333334</v>
      </c>
      <c r="J348" s="4">
        <f t="shared" si="348"/>
        <v>10.666666666666666</v>
      </c>
      <c r="K348" s="4">
        <f t="shared" si="348"/>
        <v>11</v>
      </c>
      <c r="L348" s="4">
        <f t="shared" si="348"/>
        <v>11</v>
      </c>
      <c r="M348" s="4">
        <f t="shared" si="348"/>
        <v>11</v>
      </c>
      <c r="N348" s="25"/>
      <c r="O348" s="25"/>
      <c r="P348" s="25"/>
    </row>
    <row r="349" spans="3:16" x14ac:dyDescent="0.2">
      <c r="C349" t="s">
        <v>993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3:16" x14ac:dyDescent="0.2">
      <c r="C350" t="s">
        <v>988</v>
      </c>
      <c r="G350" s="25"/>
      <c r="H350" s="25"/>
      <c r="I350" s="25"/>
      <c r="J350" s="25"/>
      <c r="K350" s="25"/>
      <c r="L350" s="25"/>
      <c r="M350" s="4">
        <f>M2736</f>
        <v>8.0807594598208308</v>
      </c>
      <c r="N350" s="25"/>
      <c r="O350" s="25"/>
      <c r="P350" s="25"/>
    </row>
    <row r="351" spans="3:16" x14ac:dyDescent="0.2">
      <c r="C351" t="s">
        <v>989</v>
      </c>
      <c r="G351" s="25"/>
      <c r="H351" s="25"/>
      <c r="I351" s="25"/>
      <c r="J351" s="25"/>
      <c r="K351" s="25"/>
      <c r="L351" s="25"/>
      <c r="M351" s="4">
        <f>M2737</f>
        <v>8.4069666435024324</v>
      </c>
      <c r="N351" s="25"/>
      <c r="O351" s="25"/>
      <c r="P351" s="25"/>
    </row>
    <row r="352" spans="3:16" x14ac:dyDescent="0.2">
      <c r="C352" t="s">
        <v>1220</v>
      </c>
      <c r="D352" s="4"/>
      <c r="E352" s="4"/>
      <c r="F352" s="4"/>
      <c r="G352" s="25"/>
      <c r="H352" s="25"/>
      <c r="I352" s="25"/>
      <c r="J352" s="25"/>
      <c r="K352" s="25"/>
      <c r="L352" s="25"/>
      <c r="M352" s="4">
        <f>M2738</f>
        <v>9.6850499999999986</v>
      </c>
      <c r="N352" s="25"/>
      <c r="O352" s="25"/>
      <c r="P352" s="25"/>
    </row>
    <row r="353" spans="2:28" x14ac:dyDescent="0.2">
      <c r="C353" t="s">
        <v>1346</v>
      </c>
      <c r="D353" s="4"/>
      <c r="E353" s="4">
        <f>E2770</f>
        <v>6.2252114385464381</v>
      </c>
      <c r="F353" s="4">
        <f t="shared" ref="F353:M353" si="349">F2770</f>
        <v>6.2957153988353607</v>
      </c>
      <c r="G353" s="4">
        <f t="shared" si="349"/>
        <v>7.0016069138246699</v>
      </c>
      <c r="H353" s="4">
        <f t="shared" si="349"/>
        <v>8.0229060934985927</v>
      </c>
      <c r="I353" s="4">
        <f t="shared" si="349"/>
        <v>9.2108095725049708</v>
      </c>
      <c r="J353" s="4">
        <f t="shared" si="349"/>
        <v>10.398713051511349</v>
      </c>
      <c r="K353" s="4">
        <f t="shared" si="349"/>
        <v>10.871754654166674</v>
      </c>
      <c r="L353" s="4">
        <f t="shared" si="349"/>
        <v>11.344796256822001</v>
      </c>
      <c r="M353" s="4">
        <f t="shared" si="349"/>
        <v>11.817837859477326</v>
      </c>
      <c r="N353" s="25"/>
      <c r="O353" s="25"/>
      <c r="P353" s="25"/>
    </row>
    <row r="354" spans="2:28" x14ac:dyDescent="0.2">
      <c r="C354" t="s">
        <v>1347</v>
      </c>
      <c r="D354" s="4"/>
      <c r="E354" s="4">
        <f t="shared" ref="E354:M361" si="350">E2771</f>
        <v>6.2252114385464434</v>
      </c>
      <c r="F354" s="4">
        <f t="shared" si="350"/>
        <v>6.2664006093209688</v>
      </c>
      <c r="G354" s="4">
        <f t="shared" si="350"/>
        <v>6.1672981504978619</v>
      </c>
      <c r="H354" s="4">
        <f t="shared" si="350"/>
        <v>6.7276218495689966</v>
      </c>
      <c r="I354" s="4">
        <f t="shared" si="350"/>
        <v>7.9970408654702378</v>
      </c>
      <c r="J354" s="4">
        <f t="shared" si="350"/>
        <v>9.26645988137148</v>
      </c>
      <c r="K354" s="4">
        <f t="shared" si="350"/>
        <v>9.7415542079430661</v>
      </c>
      <c r="L354" s="4">
        <f t="shared" si="350"/>
        <v>10.216648534514654</v>
      </c>
      <c r="M354" s="4">
        <f t="shared" si="350"/>
        <v>10.69174286108624</v>
      </c>
      <c r="N354" s="25"/>
      <c r="O354" s="25"/>
      <c r="P354" s="25"/>
    </row>
    <row r="355" spans="2:28" x14ac:dyDescent="0.2">
      <c r="C355" t="s">
        <v>1348</v>
      </c>
      <c r="D355" s="4"/>
      <c r="E355" s="4">
        <f t="shared" si="350"/>
        <v>6.2252114385464434</v>
      </c>
      <c r="F355" s="4">
        <f t="shared" si="350"/>
        <v>6.2804159724230963</v>
      </c>
      <c r="G355" s="4">
        <f t="shared" si="350"/>
        <v>6.8810443119983988</v>
      </c>
      <c r="H355" s="4">
        <f t="shared" si="350"/>
        <v>7.8339208224935302</v>
      </c>
      <c r="I355" s="4">
        <f t="shared" si="350"/>
        <v>7.6969523246161735</v>
      </c>
      <c r="J355" s="4">
        <f t="shared" si="350"/>
        <v>7.5599838267388177</v>
      </c>
      <c r="K355" s="4">
        <f t="shared" si="350"/>
        <v>7.7986533594764236</v>
      </c>
      <c r="L355" s="4">
        <f t="shared" si="350"/>
        <v>8.0373228922140303</v>
      </c>
      <c r="M355" s="4">
        <f t="shared" si="350"/>
        <v>8.275992424951637</v>
      </c>
      <c r="N355" s="25"/>
      <c r="O355" s="25"/>
      <c r="P355" s="25"/>
    </row>
    <row r="356" spans="2:28" x14ac:dyDescent="0.2">
      <c r="C356" t="s">
        <v>1349</v>
      </c>
      <c r="D356" s="4"/>
      <c r="E356" s="4">
        <f t="shared" si="350"/>
        <v>6.225211438546439</v>
      </c>
      <c r="F356" s="4">
        <f t="shared" si="350"/>
        <v>6.2807114121479151</v>
      </c>
      <c r="G356" s="4">
        <f t="shared" si="350"/>
        <v>6.5245917036394809</v>
      </c>
      <c r="H356" s="4">
        <f t="shared" si="350"/>
        <v>7.2694810066428763</v>
      </c>
      <c r="I356" s="4">
        <f t="shared" si="350"/>
        <v>8.5744845124992626</v>
      </c>
      <c r="J356" s="4">
        <f t="shared" si="350"/>
        <v>9.8794880183556479</v>
      </c>
      <c r="K356" s="4">
        <f t="shared" si="350"/>
        <v>9.9664424968886465</v>
      </c>
      <c r="L356" s="4">
        <f t="shared" si="350"/>
        <v>10.053396975421647</v>
      </c>
      <c r="M356" s="4">
        <f t="shared" si="350"/>
        <v>10.140351453954647</v>
      </c>
      <c r="N356" s="25"/>
      <c r="O356" s="25"/>
      <c r="P356" s="25"/>
    </row>
    <row r="357" spans="2:28" x14ac:dyDescent="0.2">
      <c r="C357" t="s">
        <v>1350</v>
      </c>
      <c r="D357" s="4"/>
      <c r="E357" s="4">
        <f t="shared" si="350"/>
        <v>6.2252114385464381</v>
      </c>
      <c r="F357" s="4">
        <f t="shared" si="350"/>
        <v>6.381804539424933</v>
      </c>
      <c r="G357" s="4">
        <f t="shared" si="350"/>
        <v>6.4261806798733039</v>
      </c>
      <c r="H357" s="4">
        <f t="shared" si="350"/>
        <v>6.1828482694652314</v>
      </c>
      <c r="I357" s="4">
        <f t="shared" si="350"/>
        <v>7.200170802354334</v>
      </c>
      <c r="J357" s="4">
        <f t="shared" si="350"/>
        <v>8.2174933352434358</v>
      </c>
      <c r="K357" s="4">
        <f t="shared" si="350"/>
        <v>8.7884484360061919</v>
      </c>
      <c r="L357" s="4">
        <f t="shared" si="350"/>
        <v>9.3594035367689496</v>
      </c>
      <c r="M357" s="4">
        <f t="shared" si="350"/>
        <v>9.9303586375317074</v>
      </c>
      <c r="N357" s="25"/>
      <c r="O357" s="25"/>
      <c r="P357" s="25"/>
    </row>
    <row r="358" spans="2:28" x14ac:dyDescent="0.2">
      <c r="C358" t="s">
        <v>1351</v>
      </c>
      <c r="D358" s="4"/>
      <c r="E358" s="4">
        <f t="shared" si="350"/>
        <v>6.2252114385464408</v>
      </c>
      <c r="F358" s="4">
        <f t="shared" si="350"/>
        <v>6.2807114121478271</v>
      </c>
      <c r="G358" s="4">
        <f t="shared" si="350"/>
        <v>6.5245917036394774</v>
      </c>
      <c r="H358" s="4">
        <f t="shared" si="350"/>
        <v>7.241641471356961</v>
      </c>
      <c r="I358" s="4">
        <f t="shared" si="350"/>
        <v>7.2464445615263529</v>
      </c>
      <c r="J358" s="4">
        <f t="shared" si="350"/>
        <v>7.2512476516957447</v>
      </c>
      <c r="K358" s="4">
        <f t="shared" si="350"/>
        <v>7.2529590671478337</v>
      </c>
      <c r="L358" s="4">
        <f t="shared" si="350"/>
        <v>7.2546704825999226</v>
      </c>
      <c r="M358" s="4">
        <f t="shared" si="350"/>
        <v>7.2563818980520116</v>
      </c>
      <c r="N358" s="25"/>
      <c r="O358" s="25"/>
      <c r="P358" s="25"/>
    </row>
    <row r="359" spans="2:28" x14ac:dyDescent="0.2">
      <c r="C359" t="s">
        <v>1352</v>
      </c>
      <c r="D359" s="4"/>
      <c r="E359" s="4">
        <f t="shared" si="350"/>
        <v>6.225211438546439</v>
      </c>
      <c r="F359" s="4">
        <f t="shared" si="350"/>
        <v>6.2738798044433413</v>
      </c>
      <c r="G359" s="4">
        <f t="shared" si="350"/>
        <v>6.602703057744379</v>
      </c>
      <c r="H359" s="4">
        <f t="shared" si="350"/>
        <v>7.4697653803428565</v>
      </c>
      <c r="I359" s="4">
        <f t="shared" si="350"/>
        <v>8.6740486619401</v>
      </c>
      <c r="J359" s="4">
        <f t="shared" si="350"/>
        <v>9.8783319435373436</v>
      </c>
      <c r="K359" s="4">
        <f t="shared" si="350"/>
        <v>10.317780612982927</v>
      </c>
      <c r="L359" s="4">
        <f t="shared" si="350"/>
        <v>10.757229282428511</v>
      </c>
      <c r="M359" s="4">
        <f t="shared" si="350"/>
        <v>11.196677951874097</v>
      </c>
      <c r="N359" s="25"/>
      <c r="O359" s="25"/>
      <c r="P359" s="25"/>
    </row>
    <row r="360" spans="2:28" x14ac:dyDescent="0.2">
      <c r="C360" t="s">
        <v>1353</v>
      </c>
      <c r="D360" s="4"/>
      <c r="E360" s="4">
        <f t="shared" si="350"/>
        <v>6.2252114385464408</v>
      </c>
      <c r="F360" s="4">
        <f t="shared" si="350"/>
        <v>6.3740690230160251</v>
      </c>
      <c r="G360" s="4">
        <f t="shared" si="350"/>
        <v>6.4087181853839699</v>
      </c>
      <c r="H360" s="4">
        <f t="shared" si="350"/>
        <v>6.12278999802448</v>
      </c>
      <c r="I360" s="4">
        <f t="shared" si="350"/>
        <v>7.2361076988236377</v>
      </c>
      <c r="J360" s="4">
        <f t="shared" si="350"/>
        <v>8.3494253996227954</v>
      </c>
      <c r="K360" s="4">
        <f t="shared" si="350"/>
        <v>8.8395678152697741</v>
      </c>
      <c r="L360" s="4">
        <f t="shared" si="350"/>
        <v>9.3297102309167546</v>
      </c>
      <c r="M360" s="4">
        <f t="shared" si="350"/>
        <v>9.819852646563735</v>
      </c>
      <c r="N360" s="25"/>
      <c r="O360" s="25"/>
      <c r="P360" s="25"/>
    </row>
    <row r="361" spans="2:28" x14ac:dyDescent="0.2">
      <c r="C361" t="s">
        <v>1354</v>
      </c>
      <c r="D361" s="4"/>
      <c r="E361" s="4">
        <f t="shared" si="350"/>
        <v>6.2252114385464425</v>
      </c>
      <c r="F361" s="4">
        <f t="shared" si="350"/>
        <v>6.3022631535594043</v>
      </c>
      <c r="G361" s="4">
        <f t="shared" si="350"/>
        <v>6.6192589973406939</v>
      </c>
      <c r="H361" s="4">
        <f t="shared" si="350"/>
        <v>7.5000094758627958</v>
      </c>
      <c r="I361" s="4">
        <f t="shared" si="350"/>
        <v>7.3863059796160631</v>
      </c>
      <c r="J361" s="4">
        <f t="shared" si="350"/>
        <v>7.2726024833693304</v>
      </c>
      <c r="K361" s="4">
        <f t="shared" si="350"/>
        <v>7.2712126195427027</v>
      </c>
      <c r="L361" s="4">
        <f t="shared" si="350"/>
        <v>7.2698227557160759</v>
      </c>
      <c r="M361" s="4">
        <f t="shared" si="350"/>
        <v>7.2684328918894492</v>
      </c>
      <c r="N361" s="25"/>
      <c r="O361" s="25"/>
      <c r="P361" s="25"/>
    </row>
    <row r="362" spans="2:28" x14ac:dyDescent="0.2">
      <c r="C362" t="s">
        <v>1345</v>
      </c>
      <c r="D362" s="4">
        <f>D1442</f>
        <v>6.6</v>
      </c>
      <c r="E362" s="4">
        <f>E1442</f>
        <v>7</v>
      </c>
      <c r="F362" s="4"/>
      <c r="G362" s="4"/>
      <c r="H362" s="4"/>
      <c r="I362" s="4"/>
      <c r="J362" s="4"/>
      <c r="K362" s="4"/>
      <c r="L362" s="4"/>
      <c r="M362" s="4"/>
      <c r="N362" s="25"/>
      <c r="O362" s="25"/>
      <c r="P362" s="25"/>
    </row>
    <row r="363" spans="2:28" x14ac:dyDescent="0.2"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2:28" x14ac:dyDescent="0.2">
      <c r="C364" t="s">
        <v>1344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2:28" x14ac:dyDescent="0.2"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2:28" x14ac:dyDescent="0.2">
      <c r="B366" s="99" t="s">
        <v>949</v>
      </c>
      <c r="C366" s="14"/>
      <c r="D366" s="14"/>
      <c r="E366" s="14"/>
      <c r="F366" s="14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2:28" x14ac:dyDescent="0.2"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2:28" x14ac:dyDescent="0.2"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2:16" ht="15" x14ac:dyDescent="0.25">
      <c r="B369" s="2" t="s">
        <v>986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2:16" ht="15" x14ac:dyDescent="0.25">
      <c r="B370" s="13" t="s">
        <v>125</v>
      </c>
      <c r="E370" s="2">
        <v>2010</v>
      </c>
      <c r="F370" s="2">
        <v>2015</v>
      </c>
      <c r="G370" s="2">
        <v>2020</v>
      </c>
      <c r="H370" s="2">
        <v>2025</v>
      </c>
      <c r="I370" s="2">
        <v>2030</v>
      </c>
      <c r="J370" s="2">
        <v>2035</v>
      </c>
      <c r="K370" s="2">
        <v>2040</v>
      </c>
      <c r="L370" s="2">
        <v>2045</v>
      </c>
      <c r="M370" s="2">
        <v>2050</v>
      </c>
      <c r="N370" s="25"/>
      <c r="O370" s="25"/>
      <c r="P370" s="25"/>
    </row>
    <row r="371" spans="2:16" x14ac:dyDescent="0.2">
      <c r="D371" s="4" t="s">
        <v>1340</v>
      </c>
      <c r="E371" s="6">
        <f>E714</f>
        <v>55</v>
      </c>
      <c r="F371" s="6">
        <f t="shared" ref="F371:M371" si="351">F714</f>
        <v>42.5</v>
      </c>
      <c r="G371" s="6">
        <f t="shared" si="351"/>
        <v>30</v>
      </c>
      <c r="H371" s="6">
        <f t="shared" si="351"/>
        <v>25</v>
      </c>
      <c r="I371" s="6">
        <f t="shared" si="351"/>
        <v>20</v>
      </c>
      <c r="J371" s="6">
        <f t="shared" si="351"/>
        <v>15</v>
      </c>
      <c r="K371" s="6">
        <f t="shared" si="351"/>
        <v>13.333333333333332</v>
      </c>
      <c r="L371" s="6">
        <f t="shared" si="351"/>
        <v>11.666666666666666</v>
      </c>
      <c r="M371" s="6">
        <f t="shared" si="351"/>
        <v>10</v>
      </c>
      <c r="N371" s="25"/>
      <c r="O371" s="25"/>
      <c r="P371" s="25"/>
    </row>
    <row r="372" spans="2:16" x14ac:dyDescent="0.2">
      <c r="D372" s="4" t="s">
        <v>1341</v>
      </c>
      <c r="E372" s="6">
        <f>E715</f>
        <v>35</v>
      </c>
      <c r="F372" s="6">
        <f t="shared" ref="F372:M372" si="352">F715</f>
        <v>27.5</v>
      </c>
      <c r="G372" s="6">
        <f t="shared" si="352"/>
        <v>20</v>
      </c>
      <c r="H372" s="6">
        <f t="shared" si="352"/>
        <v>16.666666666666664</v>
      </c>
      <c r="I372" s="6">
        <f t="shared" si="352"/>
        <v>13.333333333333332</v>
      </c>
      <c r="J372" s="6">
        <f t="shared" si="352"/>
        <v>10</v>
      </c>
      <c r="K372" s="6">
        <f t="shared" si="352"/>
        <v>8.6666666666666661</v>
      </c>
      <c r="L372" s="6">
        <f t="shared" si="352"/>
        <v>7.333333333333333</v>
      </c>
      <c r="M372" s="6">
        <f t="shared" si="352"/>
        <v>6</v>
      </c>
      <c r="N372" s="25"/>
      <c r="O372" s="25"/>
      <c r="P372" s="25"/>
    </row>
    <row r="373" spans="2:16" x14ac:dyDescent="0.2">
      <c r="D373" t="s">
        <v>999</v>
      </c>
      <c r="E373" s="6">
        <f t="shared" ref="E373:M373" si="353">E760</f>
        <v>46</v>
      </c>
      <c r="F373" s="6">
        <f t="shared" si="353"/>
        <v>46</v>
      </c>
      <c r="G373" s="6">
        <f t="shared" si="353"/>
        <v>41.5</v>
      </c>
      <c r="H373" s="6">
        <f t="shared" si="353"/>
        <v>37</v>
      </c>
      <c r="I373" s="6">
        <f t="shared" si="353"/>
        <v>32.5</v>
      </c>
      <c r="J373" s="6">
        <f t="shared" si="353"/>
        <v>28</v>
      </c>
      <c r="K373" s="6">
        <f t="shared" si="353"/>
        <v>25.666666666666664</v>
      </c>
      <c r="L373" s="6">
        <f t="shared" si="353"/>
        <v>23.333333333333332</v>
      </c>
      <c r="M373" s="6">
        <f t="shared" si="353"/>
        <v>21</v>
      </c>
      <c r="N373" s="25"/>
      <c r="O373" s="25"/>
      <c r="P373" s="25"/>
    </row>
    <row r="374" spans="2:16" x14ac:dyDescent="0.2">
      <c r="D374" t="s">
        <v>1000</v>
      </c>
      <c r="E374" s="6">
        <f t="shared" ref="E374:M374" si="354">E759</f>
        <v>29</v>
      </c>
      <c r="F374" s="6">
        <f t="shared" si="354"/>
        <v>29</v>
      </c>
      <c r="G374" s="6">
        <f t="shared" si="354"/>
        <v>26.25</v>
      </c>
      <c r="H374" s="6">
        <f t="shared" si="354"/>
        <v>23.5</v>
      </c>
      <c r="I374" s="6">
        <f t="shared" si="354"/>
        <v>20.75</v>
      </c>
      <c r="J374" s="6">
        <f t="shared" si="354"/>
        <v>18</v>
      </c>
      <c r="K374" s="6">
        <f t="shared" si="354"/>
        <v>16.666666666666664</v>
      </c>
      <c r="L374" s="6">
        <f t="shared" si="354"/>
        <v>15.333333333333332</v>
      </c>
      <c r="M374" s="6">
        <f t="shared" si="354"/>
        <v>14</v>
      </c>
      <c r="N374" s="25"/>
      <c r="O374" s="25"/>
      <c r="P374" s="25"/>
    </row>
    <row r="375" spans="2:16" x14ac:dyDescent="0.2">
      <c r="D375" t="s">
        <v>996</v>
      </c>
      <c r="E375">
        <f>E1423</f>
        <v>50</v>
      </c>
      <c r="F375" s="20"/>
      <c r="G375" s="20"/>
      <c r="H375" s="20">
        <f t="shared" ref="H375:I376" si="355">K375</f>
        <v>22</v>
      </c>
      <c r="I375" s="20">
        <f t="shared" si="355"/>
        <v>22</v>
      </c>
      <c r="J375" s="20">
        <f>M375</f>
        <v>22</v>
      </c>
      <c r="K375" s="20">
        <f>M375</f>
        <v>22</v>
      </c>
      <c r="L375" s="20">
        <f>M375</f>
        <v>22</v>
      </c>
      <c r="M375">
        <f t="shared" ref="M375" si="356">M1422</f>
        <v>22</v>
      </c>
      <c r="N375" s="25"/>
      <c r="O375" s="25"/>
      <c r="P375" s="25"/>
    </row>
    <row r="376" spans="2:16" x14ac:dyDescent="0.2">
      <c r="D376" t="s">
        <v>997</v>
      </c>
      <c r="F376" s="20"/>
      <c r="G376" s="20"/>
      <c r="H376" s="20">
        <f t="shared" si="355"/>
        <v>8</v>
      </c>
      <c r="I376" s="20">
        <f t="shared" si="355"/>
        <v>8</v>
      </c>
      <c r="J376" s="20">
        <f>M376</f>
        <v>8</v>
      </c>
      <c r="K376" s="20">
        <f>M376</f>
        <v>8</v>
      </c>
      <c r="L376" s="20">
        <f>M376</f>
        <v>8</v>
      </c>
      <c r="M376">
        <f t="shared" ref="M376" si="357">M1423</f>
        <v>8</v>
      </c>
      <c r="N376" s="25"/>
      <c r="O376" s="25"/>
      <c r="P376" s="25"/>
    </row>
    <row r="377" spans="2:16" x14ac:dyDescent="0.2">
      <c r="D377" t="s">
        <v>916</v>
      </c>
      <c r="E377" s="6">
        <f>100*E1192</f>
        <v>25.44467991231647</v>
      </c>
      <c r="F377" s="6">
        <f t="shared" ref="F377:M377" si="358">100*F1192</f>
        <v>16.180472235727525</v>
      </c>
      <c r="G377" s="6">
        <f t="shared" si="358"/>
        <v>11.386333836828079</v>
      </c>
      <c r="H377" s="6">
        <f t="shared" si="358"/>
        <v>9.7822657740144923</v>
      </c>
      <c r="I377" s="6">
        <f t="shared" si="358"/>
        <v>8.4067609070678131</v>
      </c>
      <c r="J377" s="6">
        <f t="shared" si="358"/>
        <v>7.9895306984329615</v>
      </c>
      <c r="K377" s="6">
        <f t="shared" si="358"/>
        <v>7.5150144974676811</v>
      </c>
      <c r="L377" s="6">
        <f t="shared" si="358"/>
        <v>7.327805199654823</v>
      </c>
      <c r="M377" s="6">
        <f t="shared" si="358"/>
        <v>7.1755552892938805</v>
      </c>
      <c r="N377" s="25"/>
      <c r="O377" s="25"/>
      <c r="P377" s="25"/>
    </row>
    <row r="378" spans="2:16" x14ac:dyDescent="0.2">
      <c r="D378" t="s">
        <v>917</v>
      </c>
      <c r="J378" s="20"/>
      <c r="K378" s="20"/>
      <c r="L378" s="20"/>
      <c r="M378">
        <f t="shared" ref="M378" si="359">M1004</f>
        <v>8</v>
      </c>
      <c r="N378" s="25"/>
      <c r="O378" s="25"/>
      <c r="P378" s="25"/>
    </row>
    <row r="379" spans="2:16" x14ac:dyDescent="0.2">
      <c r="D379" t="s">
        <v>1333</v>
      </c>
      <c r="E379" s="4">
        <f>E2762</f>
        <v>29.5</v>
      </c>
      <c r="F379" s="103"/>
      <c r="G379" s="103"/>
      <c r="H379" s="103"/>
      <c r="I379" s="4">
        <f t="shared" ref="I379:M379" si="360">I2762</f>
        <v>13.3</v>
      </c>
      <c r="J379" s="103"/>
      <c r="K379" s="103"/>
      <c r="L379" s="103"/>
      <c r="M379" s="4">
        <f t="shared" si="360"/>
        <v>10.029999999999999</v>
      </c>
      <c r="N379" s="25"/>
      <c r="O379" s="25"/>
      <c r="P379" s="25"/>
    </row>
    <row r="380" spans="2:16" x14ac:dyDescent="0.2">
      <c r="D380" t="s">
        <v>1334</v>
      </c>
      <c r="E380" s="4">
        <f>E3084</f>
        <v>29.901687036945706</v>
      </c>
      <c r="F380" s="4">
        <f t="shared" ref="F380:M380" si="361">F3084</f>
        <v>25.807115779566896</v>
      </c>
      <c r="G380" s="4">
        <f t="shared" si="361"/>
        <v>21.708054860721671</v>
      </c>
      <c r="H380" s="4">
        <f t="shared" si="361"/>
        <v>17.613483603342868</v>
      </c>
      <c r="I380" s="4">
        <f t="shared" si="361"/>
        <v>13.514422684497637</v>
      </c>
      <c r="J380" s="4">
        <f t="shared" si="361"/>
        <v>12.504248854552209</v>
      </c>
      <c r="K380" s="4">
        <f t="shared" si="361"/>
        <v>11.494075024606781</v>
      </c>
      <c r="L380" s="4">
        <f t="shared" si="361"/>
        <v>10.483901194661351</v>
      </c>
      <c r="M380" s="4">
        <f t="shared" si="361"/>
        <v>9.4737273647159235</v>
      </c>
      <c r="N380" s="25"/>
      <c r="O380" s="25"/>
      <c r="P380" s="25"/>
    </row>
    <row r="381" spans="2:16" x14ac:dyDescent="0.2">
      <c r="D381" t="s">
        <v>1342</v>
      </c>
      <c r="E381" s="4"/>
      <c r="F381" s="4"/>
      <c r="G381" s="4"/>
      <c r="H381" s="4"/>
      <c r="I381" s="4"/>
      <c r="J381" s="4"/>
      <c r="K381" s="4"/>
      <c r="L381" s="4"/>
      <c r="M381" s="4">
        <v>8.1159999999999997</v>
      </c>
      <c r="N381" s="25"/>
      <c r="O381" s="25"/>
      <c r="P381" s="25"/>
    </row>
    <row r="382" spans="2:16" x14ac:dyDescent="0.2">
      <c r="D382" t="s">
        <v>1343</v>
      </c>
      <c r="E382" s="4"/>
      <c r="F382" s="4"/>
      <c r="G382" s="4"/>
      <c r="H382" s="4"/>
      <c r="I382" s="4"/>
      <c r="J382" s="4"/>
      <c r="K382" s="4"/>
      <c r="L382" s="4"/>
      <c r="M382" s="4">
        <v>12.475</v>
      </c>
      <c r="N382" s="25"/>
      <c r="O382" s="25"/>
      <c r="P382" s="25"/>
    </row>
    <row r="383" spans="2:16" x14ac:dyDescent="0.2">
      <c r="D383" t="s">
        <v>962</v>
      </c>
      <c r="E383" s="6">
        <f>AVERAGE(E371:E380)</f>
        <v>37.480795868657772</v>
      </c>
      <c r="F383" s="6">
        <f t="shared" ref="F383:M383" si="362">AVERAGE(F371:F380)</f>
        <v>31.16459800254907</v>
      </c>
      <c r="G383" s="6">
        <f t="shared" si="362"/>
        <v>25.140731449591623</v>
      </c>
      <c r="H383" s="6">
        <f t="shared" si="362"/>
        <v>19.945302005503002</v>
      </c>
      <c r="I383" s="6">
        <f t="shared" si="362"/>
        <v>16.867168547210976</v>
      </c>
      <c r="J383" s="6">
        <f t="shared" si="362"/>
        <v>15.186722444123145</v>
      </c>
      <c r="K383" s="6">
        <f t="shared" si="362"/>
        <v>14.167802856925974</v>
      </c>
      <c r="L383" s="6">
        <f t="shared" si="362"/>
        <v>13.184796632622854</v>
      </c>
      <c r="M383" s="6">
        <f t="shared" si="362"/>
        <v>11.567928265400981</v>
      </c>
      <c r="N383" s="25"/>
      <c r="O383" s="25"/>
      <c r="P383" s="25"/>
    </row>
    <row r="384" spans="2:16" x14ac:dyDescent="0.2">
      <c r="E384" s="6"/>
      <c r="F384" s="6"/>
      <c r="G384" s="6"/>
      <c r="H384" s="6"/>
      <c r="I384" s="6"/>
      <c r="J384" s="6"/>
      <c r="K384" s="6"/>
      <c r="L384" s="6"/>
      <c r="M384" s="6"/>
      <c r="N384" s="25"/>
      <c r="O384" s="25"/>
      <c r="P384" s="25"/>
    </row>
    <row r="385" spans="2:28" x14ac:dyDescent="0.2">
      <c r="C385" t="s">
        <v>1001</v>
      </c>
      <c r="D385" t="s">
        <v>998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</row>
    <row r="386" spans="2:28" x14ac:dyDescent="0.2">
      <c r="D386" t="s">
        <v>1002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</row>
    <row r="387" spans="2:28" x14ac:dyDescent="0.2">
      <c r="G387" s="25"/>
      <c r="H387" s="25"/>
      <c r="I387" s="25"/>
      <c r="J387" s="25"/>
      <c r="K387" s="25"/>
      <c r="L387" s="25"/>
      <c r="M387" s="25"/>
      <c r="N387" s="25"/>
      <c r="O387" s="25"/>
      <c r="P387" s="25"/>
    </row>
    <row r="388" spans="2:28" x14ac:dyDescent="0.2">
      <c r="G388" s="25"/>
      <c r="H388" s="25"/>
      <c r="I388" s="25"/>
      <c r="J388" s="25"/>
      <c r="K388" s="25"/>
      <c r="L388" s="25"/>
      <c r="M388" s="25"/>
      <c r="N388" s="25"/>
      <c r="O388" s="25"/>
      <c r="P388" s="25"/>
    </row>
    <row r="389" spans="2:28" x14ac:dyDescent="0.2">
      <c r="G389" s="25"/>
      <c r="H389" s="25"/>
      <c r="I389" s="25"/>
      <c r="J389" s="25"/>
      <c r="K389" s="25"/>
      <c r="L389" s="25"/>
      <c r="M389" s="25"/>
      <c r="N389" s="25"/>
      <c r="O389" s="25"/>
      <c r="P389" s="25"/>
    </row>
    <row r="390" spans="2:28" x14ac:dyDescent="0.2">
      <c r="G390" s="25"/>
      <c r="H390" s="25"/>
      <c r="I390" s="25"/>
      <c r="J390" s="25"/>
      <c r="K390" s="25"/>
      <c r="L390" s="25"/>
      <c r="M390" s="25"/>
      <c r="N390" s="25"/>
      <c r="O390" s="25"/>
      <c r="P390" s="25"/>
    </row>
    <row r="391" spans="2:28" x14ac:dyDescent="0.2">
      <c r="G391" s="25"/>
      <c r="H391" s="25"/>
      <c r="I391" s="25"/>
      <c r="J391" s="25"/>
      <c r="K391" s="25"/>
      <c r="L391" s="25"/>
      <c r="M391" s="25"/>
      <c r="N391" s="25"/>
      <c r="O391" s="25"/>
      <c r="P391" s="25"/>
    </row>
    <row r="392" spans="2:28" x14ac:dyDescent="0.2">
      <c r="B392" s="99" t="s">
        <v>949</v>
      </c>
      <c r="C392" s="14"/>
      <c r="D392" s="14"/>
      <c r="E392" s="14"/>
      <c r="F392" s="14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2:28" x14ac:dyDescent="0.2"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2:28" ht="15" x14ac:dyDescent="0.25">
      <c r="B394" s="2" t="s">
        <v>1236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</row>
    <row r="395" spans="2:28" ht="15" x14ac:dyDescent="0.25">
      <c r="B395" s="13" t="s">
        <v>125</v>
      </c>
      <c r="E395" s="2">
        <v>2010</v>
      </c>
      <c r="F395" s="2">
        <v>2015</v>
      </c>
      <c r="G395" s="2">
        <v>2020</v>
      </c>
      <c r="H395" s="2">
        <v>2025</v>
      </c>
      <c r="I395" s="2">
        <v>2030</v>
      </c>
      <c r="J395" s="2">
        <v>2035</v>
      </c>
      <c r="K395" s="2">
        <v>2040</v>
      </c>
      <c r="L395" s="2">
        <v>2045</v>
      </c>
      <c r="M395" s="2">
        <v>2050</v>
      </c>
      <c r="N395" s="25"/>
      <c r="O395" s="25"/>
      <c r="P395" s="25"/>
    </row>
    <row r="396" spans="2:28" x14ac:dyDescent="0.2">
      <c r="D396" s="4" t="s">
        <v>1340</v>
      </c>
      <c r="E396" s="6">
        <f>E712</f>
        <v>20</v>
      </c>
      <c r="F396" s="6">
        <f t="shared" ref="F396:M396" si="363">F712</f>
        <v>18.5</v>
      </c>
      <c r="G396" s="6">
        <f t="shared" si="363"/>
        <v>17</v>
      </c>
      <c r="H396" s="6">
        <f t="shared" si="363"/>
        <v>16.333333333333332</v>
      </c>
      <c r="I396" s="6">
        <f t="shared" si="363"/>
        <v>15.666666666666666</v>
      </c>
      <c r="J396" s="6">
        <f t="shared" si="363"/>
        <v>15</v>
      </c>
      <c r="K396" s="6">
        <f t="shared" si="363"/>
        <v>14</v>
      </c>
      <c r="L396" s="6">
        <f t="shared" si="363"/>
        <v>13</v>
      </c>
      <c r="M396" s="6">
        <f t="shared" si="363"/>
        <v>12</v>
      </c>
      <c r="N396" s="25"/>
      <c r="O396" s="25"/>
      <c r="P396" s="25"/>
    </row>
    <row r="397" spans="2:28" x14ac:dyDescent="0.2">
      <c r="D397" s="4" t="s">
        <v>1341</v>
      </c>
      <c r="E397" s="6">
        <f>E713</f>
        <v>14</v>
      </c>
      <c r="F397" s="6">
        <f t="shared" ref="F397:M397" si="364">F713</f>
        <v>13</v>
      </c>
      <c r="G397" s="6">
        <f t="shared" si="364"/>
        <v>12</v>
      </c>
      <c r="H397" s="6">
        <f t="shared" si="364"/>
        <v>11.333333333333332</v>
      </c>
      <c r="I397" s="6">
        <f t="shared" si="364"/>
        <v>10.666666666666666</v>
      </c>
      <c r="J397" s="6">
        <f t="shared" si="364"/>
        <v>10</v>
      </c>
      <c r="K397" s="6">
        <f t="shared" si="364"/>
        <v>9.3333333333333321</v>
      </c>
      <c r="L397" s="6">
        <f t="shared" si="364"/>
        <v>8.6666666666666661</v>
      </c>
      <c r="M397" s="6">
        <f t="shared" si="364"/>
        <v>8</v>
      </c>
      <c r="N397" s="25"/>
      <c r="O397" s="25"/>
      <c r="P397" s="25"/>
    </row>
    <row r="398" spans="2:28" x14ac:dyDescent="0.2">
      <c r="D398" t="s">
        <v>999</v>
      </c>
      <c r="E398" s="6">
        <f>E762</f>
        <v>20</v>
      </c>
      <c r="F398" s="6">
        <f t="shared" ref="F398:M398" si="365">F762</f>
        <v>20</v>
      </c>
      <c r="G398" s="6">
        <f t="shared" si="365"/>
        <v>19.5</v>
      </c>
      <c r="H398" s="6">
        <f t="shared" si="365"/>
        <v>19</v>
      </c>
      <c r="I398" s="6">
        <f t="shared" si="365"/>
        <v>18.5</v>
      </c>
      <c r="J398" s="6">
        <f t="shared" si="365"/>
        <v>18</v>
      </c>
      <c r="K398" s="6">
        <f t="shared" ref="K398:L398" si="366">K762</f>
        <v>17.666666666666664</v>
      </c>
      <c r="L398" s="6">
        <f t="shared" si="366"/>
        <v>17.333333333333332</v>
      </c>
      <c r="M398" s="6">
        <f t="shared" si="365"/>
        <v>17</v>
      </c>
      <c r="N398" s="25"/>
      <c r="O398" s="25"/>
      <c r="P398" s="25"/>
    </row>
    <row r="399" spans="2:28" x14ac:dyDescent="0.2">
      <c r="D399" t="s">
        <v>1000</v>
      </c>
      <c r="E399" s="6">
        <f>E761</f>
        <v>14</v>
      </c>
      <c r="F399" s="6">
        <f t="shared" ref="F399:M399" si="367">F761</f>
        <v>14</v>
      </c>
      <c r="G399" s="6">
        <f t="shared" si="367"/>
        <v>13.75</v>
      </c>
      <c r="H399" s="6">
        <f t="shared" si="367"/>
        <v>13.5</v>
      </c>
      <c r="I399" s="6">
        <f t="shared" si="367"/>
        <v>13.25</v>
      </c>
      <c r="J399" s="6">
        <f t="shared" si="367"/>
        <v>13</v>
      </c>
      <c r="K399" s="6">
        <f t="shared" ref="K399:L399" si="368">K761</f>
        <v>12.666666666666666</v>
      </c>
      <c r="L399" s="6">
        <f t="shared" si="368"/>
        <v>12.333333333333332</v>
      </c>
      <c r="M399" s="6">
        <f t="shared" si="367"/>
        <v>12</v>
      </c>
      <c r="N399" s="25"/>
      <c r="O399" s="25"/>
      <c r="P399" s="25"/>
    </row>
    <row r="400" spans="2:28" x14ac:dyDescent="0.2">
      <c r="D400" t="s">
        <v>996</v>
      </c>
      <c r="F400" s="20"/>
      <c r="G400" s="20"/>
      <c r="H400" s="20">
        <f t="shared" ref="H400:H401" si="369">K400</f>
        <v>22</v>
      </c>
      <c r="I400" s="20">
        <f t="shared" ref="I400:I401" si="370">L400</f>
        <v>22</v>
      </c>
      <c r="J400" s="20">
        <f>M400</f>
        <v>22</v>
      </c>
      <c r="K400" s="20">
        <f>M400</f>
        <v>22</v>
      </c>
      <c r="L400" s="20">
        <f>M400</f>
        <v>22</v>
      </c>
      <c r="M400">
        <f>M1422</f>
        <v>22</v>
      </c>
      <c r="N400" s="25"/>
      <c r="O400" s="25"/>
      <c r="P400" s="25"/>
    </row>
    <row r="401" spans="2:28" x14ac:dyDescent="0.2">
      <c r="D401" t="s">
        <v>997</v>
      </c>
      <c r="F401" s="20"/>
      <c r="G401" s="20"/>
      <c r="H401" s="20">
        <f t="shared" si="369"/>
        <v>10</v>
      </c>
      <c r="I401" s="20">
        <f t="shared" si="370"/>
        <v>10</v>
      </c>
      <c r="J401" s="20">
        <f>M401</f>
        <v>10</v>
      </c>
      <c r="K401" s="20">
        <f>M401</f>
        <v>10</v>
      </c>
      <c r="L401" s="20">
        <f>M401</f>
        <v>10</v>
      </c>
      <c r="M401">
        <f>M1421</f>
        <v>10</v>
      </c>
      <c r="N401" s="25"/>
      <c r="O401" s="25"/>
      <c r="P401" s="25"/>
    </row>
    <row r="402" spans="2:28" x14ac:dyDescent="0.2">
      <c r="D402" t="s">
        <v>916</v>
      </c>
      <c r="E402" s="6">
        <f t="shared" ref="E402:K402" si="371">100*E1197</f>
        <v>16.541276121872212</v>
      </c>
      <c r="F402" s="6">
        <f t="shared" si="371"/>
        <v>13.284680476164725</v>
      </c>
      <c r="G402" s="6">
        <f t="shared" si="371"/>
        <v>10.34176263943665</v>
      </c>
      <c r="H402" s="6">
        <f t="shared" si="371"/>
        <v>9.5302411663637585</v>
      </c>
      <c r="I402" s="6">
        <f t="shared" si="371"/>
        <v>9.328277620821396</v>
      </c>
      <c r="J402" s="6">
        <f t="shared" si="371"/>
        <v>7.8160541823572407</v>
      </c>
      <c r="K402" s="1">
        <f t="shared" si="371"/>
        <v>6.6031204224737072</v>
      </c>
      <c r="L402" s="37">
        <f>K402</f>
        <v>6.6031204224737072</v>
      </c>
      <c r="M402" s="37">
        <f>L402</f>
        <v>6.6031204224737072</v>
      </c>
      <c r="N402" s="25"/>
      <c r="O402" s="25"/>
      <c r="P402" s="25"/>
    </row>
    <row r="403" spans="2:28" x14ac:dyDescent="0.2">
      <c r="D403" t="s">
        <v>1373</v>
      </c>
      <c r="J403" s="20"/>
      <c r="K403" s="20"/>
      <c r="L403" s="20"/>
      <c r="N403" s="25"/>
      <c r="O403" s="25"/>
      <c r="P403" s="25"/>
    </row>
    <row r="404" spans="2:28" x14ac:dyDescent="0.2">
      <c r="D404" t="s">
        <v>1333</v>
      </c>
      <c r="E404" s="4">
        <f>E2763</f>
        <v>19.5</v>
      </c>
      <c r="F404" s="4"/>
      <c r="G404" s="4"/>
      <c r="H404" s="4"/>
      <c r="I404" s="4">
        <f>I2763</f>
        <v>14.45</v>
      </c>
      <c r="J404" s="4"/>
      <c r="K404" s="4"/>
      <c r="L404" s="4"/>
      <c r="M404" s="4">
        <f>M2763</f>
        <v>14.45</v>
      </c>
      <c r="N404" s="25"/>
      <c r="O404" s="25"/>
      <c r="P404" s="25"/>
    </row>
    <row r="405" spans="2:28" x14ac:dyDescent="0.2">
      <c r="D405" t="s">
        <v>1334</v>
      </c>
      <c r="E405" s="4">
        <f>E3085</f>
        <v>20.371312078705735</v>
      </c>
      <c r="F405" s="4">
        <f t="shared" ref="F405:M405" si="372">F3085</f>
        <v>19.097080933917258</v>
      </c>
      <c r="G405" s="4">
        <f t="shared" si="372"/>
        <v>17.72284978912878</v>
      </c>
      <c r="H405" s="4">
        <f t="shared" si="372"/>
        <v>16.4486186443403</v>
      </c>
      <c r="I405" s="4">
        <f t="shared" si="372"/>
        <v>15.074387499551818</v>
      </c>
      <c r="J405" s="4">
        <f t="shared" si="372"/>
        <v>15.074387499551818</v>
      </c>
      <c r="K405" s="4">
        <f t="shared" si="372"/>
        <v>15.074387499551818</v>
      </c>
      <c r="L405" s="4">
        <f t="shared" si="372"/>
        <v>15.074387499551818</v>
      </c>
      <c r="M405" s="4">
        <f t="shared" si="372"/>
        <v>15.074387499551818</v>
      </c>
      <c r="N405" s="25"/>
      <c r="O405" s="25"/>
      <c r="P405" s="25"/>
    </row>
    <row r="406" spans="2:28" x14ac:dyDescent="0.2">
      <c r="D406" t="s">
        <v>793</v>
      </c>
      <c r="E406" s="4"/>
      <c r="F406" s="4"/>
      <c r="G406" s="4"/>
      <c r="H406" s="4"/>
      <c r="I406" s="4"/>
      <c r="J406" s="4"/>
      <c r="K406" s="4"/>
      <c r="L406" s="4"/>
      <c r="M406" s="4">
        <v>12.584</v>
      </c>
      <c r="N406" s="25"/>
      <c r="O406" s="25"/>
      <c r="P406" s="25"/>
    </row>
    <row r="407" spans="2:28" x14ac:dyDescent="0.2">
      <c r="D407" t="s">
        <v>962</v>
      </c>
      <c r="E407" s="6">
        <f>AVERAGE(E396:E405)</f>
        <v>17.773226885796849</v>
      </c>
      <c r="F407" s="6">
        <f t="shared" ref="F407:M407" si="373">AVERAGE(F396:F405)</f>
        <v>16.31362690168033</v>
      </c>
      <c r="G407" s="6">
        <f t="shared" si="373"/>
        <v>15.052435404760905</v>
      </c>
      <c r="H407" s="6">
        <f t="shared" si="373"/>
        <v>14.76819080967134</v>
      </c>
      <c r="I407" s="6">
        <f t="shared" si="373"/>
        <v>14.326222050411836</v>
      </c>
      <c r="J407" s="6">
        <f t="shared" si="373"/>
        <v>13.861305210238632</v>
      </c>
      <c r="K407" s="6">
        <f t="shared" si="373"/>
        <v>13.418021823586523</v>
      </c>
      <c r="L407" s="6">
        <f t="shared" si="373"/>
        <v>13.126355156919857</v>
      </c>
      <c r="M407" s="6">
        <f t="shared" si="373"/>
        <v>13.014167546891725</v>
      </c>
      <c r="N407" s="25"/>
      <c r="O407" s="25"/>
      <c r="P407" s="25"/>
    </row>
    <row r="408" spans="2:28" x14ac:dyDescent="0.2">
      <c r="E408" s="6"/>
      <c r="F408" s="6"/>
      <c r="G408" s="6"/>
      <c r="H408" s="6"/>
      <c r="I408" s="6"/>
      <c r="J408" s="6"/>
      <c r="K408" s="6"/>
      <c r="L408" s="6"/>
      <c r="M408" s="6"/>
      <c r="N408" s="25"/>
      <c r="O408" s="25"/>
      <c r="P408" s="25"/>
    </row>
    <row r="409" spans="2:28" x14ac:dyDescent="0.2">
      <c r="C409" t="s">
        <v>1001</v>
      </c>
      <c r="D409" t="s">
        <v>998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</row>
    <row r="410" spans="2:28" x14ac:dyDescent="0.2">
      <c r="D410" t="s">
        <v>1002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</row>
    <row r="411" spans="2:28" x14ac:dyDescent="0.2">
      <c r="G411" s="25"/>
      <c r="H411" s="25"/>
      <c r="I411" s="25"/>
      <c r="J411" s="25"/>
      <c r="K411" s="25"/>
      <c r="L411" s="25"/>
      <c r="M411" s="25"/>
      <c r="N411" s="25"/>
      <c r="O411" s="25"/>
      <c r="P411" s="25"/>
    </row>
    <row r="412" spans="2:28" x14ac:dyDescent="0.2">
      <c r="G412" s="25"/>
      <c r="H412" s="25"/>
      <c r="I412" s="25"/>
      <c r="J412" s="25"/>
      <c r="K412" s="25"/>
      <c r="L412" s="25"/>
      <c r="M412" s="25"/>
      <c r="N412" s="25"/>
      <c r="O412" s="25"/>
      <c r="P412" s="25"/>
    </row>
    <row r="413" spans="2:28" x14ac:dyDescent="0.2">
      <c r="G413" s="25"/>
      <c r="H413" s="25"/>
      <c r="I413" s="25"/>
      <c r="J413" s="25"/>
      <c r="K413" s="25"/>
      <c r="L413" s="25"/>
      <c r="M413" s="25"/>
      <c r="N413" s="25"/>
      <c r="O413" s="25"/>
      <c r="P413" s="25"/>
    </row>
    <row r="414" spans="2:28" x14ac:dyDescent="0.2">
      <c r="G414" s="25"/>
      <c r="H414" s="25"/>
      <c r="I414" s="25"/>
      <c r="J414" s="25"/>
      <c r="K414" s="25"/>
      <c r="L414" s="25"/>
      <c r="M414" s="25"/>
      <c r="N414" s="25"/>
      <c r="O414" s="25"/>
      <c r="P414" s="25"/>
    </row>
    <row r="415" spans="2:28" x14ac:dyDescent="0.2">
      <c r="G415" s="25"/>
      <c r="H415" s="25"/>
      <c r="I415" s="25"/>
      <c r="J415" s="25"/>
      <c r="K415" s="25"/>
      <c r="L415" s="25"/>
      <c r="M415" s="25"/>
      <c r="N415" s="25"/>
      <c r="O415" s="25"/>
      <c r="P415" s="25"/>
    </row>
    <row r="416" spans="2:28" x14ac:dyDescent="0.2">
      <c r="B416" s="99" t="s">
        <v>949</v>
      </c>
      <c r="C416" s="14"/>
      <c r="D416" s="14"/>
      <c r="E416" s="14"/>
      <c r="F416" s="14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2:28" x14ac:dyDescent="0.2">
      <c r="B417" s="102"/>
      <c r="C417" s="29"/>
      <c r="D417" s="29"/>
      <c r="E417" s="29"/>
      <c r="F417" s="29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</row>
    <row r="418" spans="2:28" ht="15" x14ac:dyDescent="0.25">
      <c r="B418" s="2" t="s">
        <v>1237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</row>
    <row r="419" spans="2:28" ht="15" x14ac:dyDescent="0.25">
      <c r="B419" s="13" t="s">
        <v>125</v>
      </c>
      <c r="E419" s="2">
        <v>2010</v>
      </c>
      <c r="F419" s="2">
        <v>2015</v>
      </c>
      <c r="G419" s="2">
        <v>2020</v>
      </c>
      <c r="H419" s="2">
        <v>2025</v>
      </c>
      <c r="I419" s="2">
        <v>2030</v>
      </c>
      <c r="J419" s="2">
        <v>2035</v>
      </c>
      <c r="K419" s="2">
        <v>2040</v>
      </c>
      <c r="L419" s="2">
        <v>2045</v>
      </c>
      <c r="M419" s="2">
        <v>2050</v>
      </c>
      <c r="N419" s="25"/>
      <c r="O419" s="25"/>
      <c r="P419" s="25"/>
    </row>
    <row r="420" spans="2:28" x14ac:dyDescent="0.2">
      <c r="D420" s="4" t="s">
        <v>1340</v>
      </c>
      <c r="E420" s="6">
        <f>E705</f>
        <v>10</v>
      </c>
      <c r="F420" s="6">
        <f t="shared" ref="F420:M420" si="374">F705</f>
        <v>10</v>
      </c>
      <c r="G420" s="6">
        <f t="shared" si="374"/>
        <v>10</v>
      </c>
      <c r="H420" s="6">
        <f t="shared" si="374"/>
        <v>10</v>
      </c>
      <c r="I420" s="6">
        <f t="shared" si="374"/>
        <v>10</v>
      </c>
      <c r="J420" s="6">
        <f t="shared" si="374"/>
        <v>10</v>
      </c>
      <c r="K420" s="6">
        <f t="shared" si="374"/>
        <v>10</v>
      </c>
      <c r="L420" s="6">
        <f t="shared" si="374"/>
        <v>10</v>
      </c>
      <c r="M420" s="6">
        <f t="shared" si="374"/>
        <v>10</v>
      </c>
      <c r="N420" s="25"/>
      <c r="O420" s="25"/>
      <c r="P420" s="25"/>
    </row>
    <row r="421" spans="2:28" x14ac:dyDescent="0.2">
      <c r="D421" s="4" t="s">
        <v>1341</v>
      </c>
      <c r="E421" s="6">
        <f>E706</f>
        <v>8</v>
      </c>
      <c r="F421" s="6">
        <f t="shared" ref="F421:M421" si="375">F706</f>
        <v>8</v>
      </c>
      <c r="G421" s="6">
        <f t="shared" si="375"/>
        <v>8</v>
      </c>
      <c r="H421" s="6">
        <f t="shared" si="375"/>
        <v>8</v>
      </c>
      <c r="I421" s="6">
        <f t="shared" si="375"/>
        <v>8</v>
      </c>
      <c r="J421" s="6">
        <f t="shared" si="375"/>
        <v>8</v>
      </c>
      <c r="K421" s="6">
        <f t="shared" si="375"/>
        <v>8</v>
      </c>
      <c r="L421" s="6">
        <f t="shared" si="375"/>
        <v>8</v>
      </c>
      <c r="M421" s="6">
        <f t="shared" si="375"/>
        <v>8</v>
      </c>
      <c r="N421" s="25"/>
      <c r="O421" s="25"/>
      <c r="P421" s="25"/>
    </row>
    <row r="422" spans="2:28" x14ac:dyDescent="0.2">
      <c r="D422" t="s">
        <v>1239</v>
      </c>
      <c r="E422" s="6">
        <v>8</v>
      </c>
      <c r="F422" s="6">
        <v>8</v>
      </c>
      <c r="G422" s="6">
        <v>8</v>
      </c>
      <c r="H422" s="6">
        <v>8</v>
      </c>
      <c r="I422" s="6">
        <v>8</v>
      </c>
      <c r="J422" s="6">
        <v>8</v>
      </c>
      <c r="K422" s="6">
        <v>8</v>
      </c>
      <c r="L422" s="6">
        <v>8</v>
      </c>
      <c r="M422" s="6">
        <v>8</v>
      </c>
      <c r="N422" s="25"/>
      <c r="O422" s="25"/>
      <c r="P422" s="25"/>
    </row>
    <row r="423" spans="2:28" x14ac:dyDescent="0.2">
      <c r="D423" t="s">
        <v>1238</v>
      </c>
      <c r="E423" s="6">
        <v>6</v>
      </c>
      <c r="F423" s="6">
        <v>6</v>
      </c>
      <c r="G423" s="6">
        <v>6</v>
      </c>
      <c r="H423" s="6">
        <v>6</v>
      </c>
      <c r="I423" s="6">
        <v>6</v>
      </c>
      <c r="J423" s="6">
        <v>6</v>
      </c>
      <c r="K423" s="6">
        <v>6</v>
      </c>
      <c r="L423" s="6">
        <v>6</v>
      </c>
      <c r="M423" s="6">
        <v>6</v>
      </c>
      <c r="N423" s="25"/>
      <c r="O423" s="25"/>
      <c r="P423" s="25"/>
    </row>
    <row r="424" spans="2:28" x14ac:dyDescent="0.2">
      <c r="D424" t="s">
        <v>1245</v>
      </c>
      <c r="E424">
        <f>E1434</f>
        <v>5.4</v>
      </c>
      <c r="F424" s="109">
        <f>1/2*(E424+G424)</f>
        <v>5.7</v>
      </c>
      <c r="G424">
        <f>G1434</f>
        <v>6</v>
      </c>
      <c r="H424" s="109">
        <f>1/2*(G424+I424)</f>
        <v>6.45</v>
      </c>
      <c r="I424">
        <f>I1434</f>
        <v>6.9</v>
      </c>
      <c r="K424" s="20"/>
      <c r="L424" s="20"/>
      <c r="N424" s="25"/>
      <c r="O424" s="25"/>
      <c r="P424" s="25"/>
    </row>
    <row r="425" spans="2:28" x14ac:dyDescent="0.2">
      <c r="D425" t="s">
        <v>1372</v>
      </c>
      <c r="E425" s="6"/>
      <c r="F425" s="6"/>
      <c r="G425" s="6"/>
      <c r="H425" s="6"/>
      <c r="I425" s="6"/>
      <c r="J425" s="6"/>
      <c r="K425" s="1"/>
      <c r="L425" s="37"/>
      <c r="M425" s="37"/>
      <c r="N425" s="25"/>
      <c r="O425" s="25"/>
      <c r="P425" s="25"/>
    </row>
    <row r="426" spans="2:28" x14ac:dyDescent="0.2">
      <c r="D426" t="s">
        <v>1373</v>
      </c>
      <c r="J426" s="20"/>
      <c r="K426" s="20"/>
      <c r="L426" s="20"/>
      <c r="N426" s="25"/>
      <c r="O426" s="25"/>
      <c r="P426" s="25"/>
    </row>
    <row r="427" spans="2:28" x14ac:dyDescent="0.2">
      <c r="D427" t="s">
        <v>1333</v>
      </c>
      <c r="E427" s="4">
        <f>E2757</f>
        <v>5.9</v>
      </c>
      <c r="F427" s="4"/>
      <c r="G427" s="4"/>
      <c r="H427" s="4"/>
      <c r="I427" s="4"/>
      <c r="J427" s="4"/>
      <c r="K427" s="4"/>
      <c r="L427" s="4"/>
      <c r="M427" s="19">
        <f>E427</f>
        <v>5.9</v>
      </c>
      <c r="N427" s="25"/>
      <c r="O427" s="25"/>
      <c r="P427" s="25"/>
    </row>
    <row r="428" spans="2:28" x14ac:dyDescent="0.2">
      <c r="D428" t="s">
        <v>1334</v>
      </c>
      <c r="E428" s="4">
        <f>E3080</f>
        <v>3.5606095561383029</v>
      </c>
      <c r="F428" s="4"/>
      <c r="G428" s="4"/>
      <c r="H428" s="4"/>
      <c r="I428" s="4"/>
      <c r="J428" s="4"/>
      <c r="K428" s="4"/>
      <c r="L428" s="4"/>
      <c r="M428" s="19">
        <f>E428</f>
        <v>3.5606095561383029</v>
      </c>
      <c r="N428" s="25"/>
      <c r="O428" s="25"/>
      <c r="P428" s="25"/>
    </row>
    <row r="429" spans="2:28" x14ac:dyDescent="0.2">
      <c r="D429" t="s">
        <v>793</v>
      </c>
      <c r="E429" s="4"/>
      <c r="F429" s="4"/>
      <c r="G429" s="4"/>
      <c r="H429" s="4"/>
      <c r="I429" s="4"/>
      <c r="J429" s="4"/>
      <c r="K429" s="4"/>
      <c r="L429" s="4"/>
      <c r="M429" s="34">
        <v>12.122</v>
      </c>
      <c r="N429" s="25"/>
      <c r="O429" s="25"/>
      <c r="P429" s="25"/>
    </row>
    <row r="430" spans="2:28" x14ac:dyDescent="0.2">
      <c r="D430" t="s">
        <v>962</v>
      </c>
      <c r="E430" s="6"/>
      <c r="F430" s="6"/>
      <c r="G430" s="6"/>
      <c r="H430" s="6"/>
      <c r="I430" s="6"/>
      <c r="J430" s="6"/>
      <c r="K430" s="6"/>
      <c r="L430" s="6"/>
      <c r="M430" s="6"/>
      <c r="N430" s="25"/>
      <c r="O430" s="25"/>
      <c r="P430" s="25"/>
    </row>
    <row r="431" spans="2:28" x14ac:dyDescent="0.2">
      <c r="E431" s="6"/>
      <c r="F431" s="6"/>
      <c r="G431" s="6"/>
      <c r="H431" s="6"/>
      <c r="I431" s="6"/>
      <c r="J431" s="6"/>
      <c r="K431" s="6"/>
      <c r="L431" s="6"/>
      <c r="M431" s="6"/>
      <c r="N431" s="25"/>
      <c r="O431" s="25"/>
      <c r="P431" s="25"/>
    </row>
    <row r="432" spans="2:28" x14ac:dyDescent="0.2">
      <c r="C432" t="s">
        <v>1001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</row>
    <row r="433" spans="2:28" x14ac:dyDescent="0.2">
      <c r="G433" s="25"/>
      <c r="H433" s="25"/>
      <c r="I433" s="25"/>
      <c r="J433" s="25"/>
      <c r="K433" s="25"/>
      <c r="L433" s="25"/>
      <c r="M433" s="25"/>
      <c r="N433" s="25"/>
      <c r="O433" s="25"/>
      <c r="P433" s="25"/>
    </row>
    <row r="434" spans="2:28" x14ac:dyDescent="0.2">
      <c r="G434" s="25"/>
      <c r="H434" s="25"/>
      <c r="I434" s="25"/>
      <c r="J434" s="25"/>
      <c r="K434" s="25"/>
      <c r="L434" s="25"/>
      <c r="M434" s="25"/>
      <c r="N434" s="25"/>
      <c r="O434" s="25"/>
      <c r="P434" s="25"/>
    </row>
    <row r="435" spans="2:28" x14ac:dyDescent="0.2">
      <c r="G435" s="25"/>
      <c r="H435" s="25"/>
      <c r="I435" s="25"/>
      <c r="J435" s="25"/>
      <c r="K435" s="25"/>
      <c r="L435" s="25"/>
      <c r="M435" s="25"/>
      <c r="N435" s="25"/>
      <c r="O435" s="25"/>
      <c r="P435" s="25"/>
    </row>
    <row r="436" spans="2:28" x14ac:dyDescent="0.2"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2:28" x14ac:dyDescent="0.2">
      <c r="G437" s="25"/>
      <c r="H437" s="25"/>
      <c r="I437" s="25"/>
      <c r="J437" s="25"/>
      <c r="K437" s="25"/>
      <c r="L437" s="25"/>
      <c r="M437" s="25"/>
      <c r="N437" s="25"/>
      <c r="O437" s="25"/>
      <c r="P437" s="25"/>
    </row>
    <row r="438" spans="2:28" x14ac:dyDescent="0.2">
      <c r="G438" s="25"/>
      <c r="H438" s="25"/>
      <c r="I438" s="25"/>
      <c r="J438" s="25"/>
      <c r="K438" s="25"/>
      <c r="L438" s="25"/>
      <c r="M438" s="25"/>
      <c r="N438" s="25"/>
      <c r="O438" s="25"/>
      <c r="P438" s="25"/>
    </row>
    <row r="439" spans="2:28" x14ac:dyDescent="0.2">
      <c r="B439" s="99" t="s">
        <v>949</v>
      </c>
      <c r="C439" s="14"/>
      <c r="D439" s="14"/>
      <c r="E439" s="14"/>
      <c r="F439" s="14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2:28" x14ac:dyDescent="0.2">
      <c r="B440" s="102"/>
      <c r="C440" s="29"/>
      <c r="D440" s="29"/>
      <c r="E440" s="29"/>
      <c r="F440" s="29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</row>
    <row r="441" spans="2:28" ht="15" x14ac:dyDescent="0.25">
      <c r="B441" s="2" t="s">
        <v>1240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</row>
    <row r="442" spans="2:28" ht="15" x14ac:dyDescent="0.25">
      <c r="B442" s="13" t="s">
        <v>125</v>
      </c>
      <c r="E442" s="2">
        <v>2010</v>
      </c>
      <c r="F442" s="2">
        <v>2015</v>
      </c>
      <c r="G442" s="2">
        <v>2020</v>
      </c>
      <c r="H442" s="2">
        <v>2025</v>
      </c>
      <c r="I442" s="2">
        <v>2030</v>
      </c>
      <c r="J442" s="2">
        <v>2035</v>
      </c>
      <c r="K442" s="2">
        <v>2040</v>
      </c>
      <c r="L442" s="2">
        <v>2045</v>
      </c>
      <c r="M442" s="2">
        <v>2050</v>
      </c>
      <c r="N442" s="25"/>
      <c r="O442" s="25"/>
      <c r="P442" s="25"/>
    </row>
    <row r="443" spans="2:28" x14ac:dyDescent="0.2">
      <c r="D443" s="4" t="s">
        <v>1339</v>
      </c>
      <c r="E443" s="6">
        <f>E703</f>
        <v>12</v>
      </c>
      <c r="F443" s="6">
        <f t="shared" ref="F443:M443" si="376">F703</f>
        <v>12</v>
      </c>
      <c r="G443" s="6">
        <f t="shared" si="376"/>
        <v>12</v>
      </c>
      <c r="H443" s="6">
        <f t="shared" si="376"/>
        <v>12</v>
      </c>
      <c r="I443" s="6">
        <f t="shared" si="376"/>
        <v>12</v>
      </c>
      <c r="J443" s="6">
        <f t="shared" si="376"/>
        <v>12</v>
      </c>
      <c r="K443" s="6">
        <f t="shared" si="376"/>
        <v>12</v>
      </c>
      <c r="L443" s="6">
        <f t="shared" si="376"/>
        <v>12</v>
      </c>
      <c r="M443" s="6">
        <f t="shared" si="376"/>
        <v>12</v>
      </c>
      <c r="N443" s="25"/>
      <c r="O443" s="25"/>
      <c r="P443" s="25"/>
    </row>
    <row r="444" spans="2:28" x14ac:dyDescent="0.2">
      <c r="D444" t="s">
        <v>1239</v>
      </c>
      <c r="E444" s="6">
        <f>E772</f>
        <v>9</v>
      </c>
      <c r="F444" s="6">
        <f t="shared" ref="F444:M444" si="377">F772</f>
        <v>9</v>
      </c>
      <c r="G444" s="6">
        <f t="shared" ref="G444:I444" si="378">G772</f>
        <v>10</v>
      </c>
      <c r="H444" s="6">
        <f t="shared" si="378"/>
        <v>11</v>
      </c>
      <c r="I444" s="6">
        <f t="shared" si="378"/>
        <v>12</v>
      </c>
      <c r="J444" s="6">
        <f t="shared" si="377"/>
        <v>13</v>
      </c>
      <c r="K444" s="6">
        <f t="shared" ref="K444:L444" si="379">K772</f>
        <v>13</v>
      </c>
      <c r="L444" s="6">
        <f t="shared" si="379"/>
        <v>13</v>
      </c>
      <c r="M444" s="6">
        <f t="shared" si="377"/>
        <v>13</v>
      </c>
      <c r="N444" s="25"/>
      <c r="O444" s="25"/>
      <c r="P444" s="25"/>
    </row>
    <row r="445" spans="2:28" x14ac:dyDescent="0.2">
      <c r="D445" t="s">
        <v>1238</v>
      </c>
      <c r="E445" s="6"/>
      <c r="F445" s="6">
        <f t="shared" ref="F445:M445" si="380">F771</f>
        <v>8</v>
      </c>
      <c r="G445" s="6">
        <f t="shared" ref="G445:I445" si="381">G771</f>
        <v>9</v>
      </c>
      <c r="H445" s="6">
        <f t="shared" si="381"/>
        <v>10</v>
      </c>
      <c r="I445" s="6">
        <f t="shared" si="381"/>
        <v>11</v>
      </c>
      <c r="J445" s="6">
        <f t="shared" si="380"/>
        <v>12</v>
      </c>
      <c r="K445" s="6">
        <f t="shared" ref="K445:L445" si="382">K771</f>
        <v>12</v>
      </c>
      <c r="L445" s="6">
        <f t="shared" si="382"/>
        <v>12</v>
      </c>
      <c r="M445" s="6">
        <f t="shared" si="380"/>
        <v>12</v>
      </c>
      <c r="N445" s="25"/>
      <c r="O445" s="25"/>
      <c r="P445" s="25"/>
    </row>
    <row r="446" spans="2:28" x14ac:dyDescent="0.2">
      <c r="D446" t="s">
        <v>1245</v>
      </c>
      <c r="J446">
        <f t="shared" ref="J446" si="383">J1418</f>
        <v>12</v>
      </c>
      <c r="N446" s="25"/>
      <c r="O446" s="25"/>
      <c r="P446" s="25"/>
    </row>
    <row r="447" spans="2:28" x14ac:dyDescent="0.2">
      <c r="D447" t="s">
        <v>1378</v>
      </c>
      <c r="E447" s="6"/>
      <c r="F447" s="6"/>
      <c r="G447" s="6"/>
      <c r="H447" s="6"/>
      <c r="I447" s="6"/>
      <c r="J447" s="6"/>
      <c r="K447" s="1"/>
      <c r="L447" s="37"/>
      <c r="M447" s="37"/>
      <c r="N447" s="25"/>
      <c r="O447" s="25"/>
      <c r="P447" s="25"/>
    </row>
    <row r="448" spans="2:28" x14ac:dyDescent="0.2">
      <c r="D448" t="s">
        <v>1379</v>
      </c>
      <c r="J448" s="20"/>
      <c r="K448" s="20"/>
      <c r="L448" s="20"/>
      <c r="N448" s="25"/>
      <c r="O448" s="25"/>
      <c r="P448" s="25"/>
    </row>
    <row r="449" spans="2:28" x14ac:dyDescent="0.2">
      <c r="D449" t="s">
        <v>1333</v>
      </c>
      <c r="E449" s="4">
        <f>E2759</f>
        <v>11.4</v>
      </c>
      <c r="F449" s="4"/>
      <c r="G449" s="4"/>
      <c r="H449" s="4"/>
      <c r="I449" s="4"/>
      <c r="J449" s="4"/>
      <c r="K449" s="4"/>
      <c r="L449" s="4"/>
      <c r="M449" s="4">
        <f t="shared" ref="M449" si="384">M2759</f>
        <v>15.4</v>
      </c>
      <c r="N449" s="25"/>
      <c r="O449" s="25"/>
      <c r="P449" s="25"/>
    </row>
    <row r="450" spans="2:28" x14ac:dyDescent="0.2">
      <c r="D450" t="s">
        <v>1334</v>
      </c>
      <c r="E450" s="4">
        <f>E3083</f>
        <v>8.1</v>
      </c>
      <c r="F450" s="4"/>
      <c r="G450" s="4"/>
      <c r="H450" s="4"/>
      <c r="I450" s="4"/>
      <c r="J450" s="4"/>
      <c r="K450" s="4"/>
      <c r="L450" s="4"/>
      <c r="M450" s="4">
        <f t="shared" ref="M450" si="385">M3083</f>
        <v>11.1</v>
      </c>
      <c r="N450" s="25"/>
      <c r="O450" s="25"/>
      <c r="P450" s="25"/>
    </row>
    <row r="451" spans="2:28" x14ac:dyDescent="0.2">
      <c r="D451" t="s">
        <v>793</v>
      </c>
      <c r="E451" s="4"/>
      <c r="F451" s="4"/>
      <c r="G451" s="4"/>
      <c r="H451" s="4"/>
      <c r="I451" s="4"/>
      <c r="J451" s="4"/>
      <c r="K451" s="4"/>
      <c r="L451" s="4"/>
      <c r="M451" s="4">
        <v>6</v>
      </c>
      <c r="N451" s="25"/>
      <c r="O451" s="25"/>
      <c r="P451" s="25"/>
    </row>
    <row r="452" spans="2:28" x14ac:dyDescent="0.2">
      <c r="D452" t="s">
        <v>962</v>
      </c>
      <c r="E452" s="6">
        <f>AVERAGE(E443:E450)</f>
        <v>10.125</v>
      </c>
      <c r="F452" s="6"/>
      <c r="G452" s="6"/>
      <c r="H452" s="6"/>
      <c r="I452" s="6"/>
      <c r="J452" s="6"/>
      <c r="K452" s="6"/>
      <c r="L452" s="6"/>
      <c r="M452" s="6"/>
      <c r="N452" s="25"/>
      <c r="O452" s="25"/>
      <c r="P452" s="25"/>
    </row>
    <row r="453" spans="2:28" x14ac:dyDescent="0.2">
      <c r="E453" s="6"/>
      <c r="F453" s="6"/>
      <c r="G453" s="6"/>
      <c r="H453" s="6"/>
      <c r="I453" s="6"/>
      <c r="J453" s="6"/>
      <c r="K453" s="6"/>
      <c r="L453" s="6"/>
      <c r="M453" s="6"/>
      <c r="N453" s="25"/>
      <c r="O453" s="25"/>
      <c r="P453" s="25"/>
    </row>
    <row r="454" spans="2:28" x14ac:dyDescent="0.2">
      <c r="C454" t="s">
        <v>1001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</row>
    <row r="455" spans="2:28" x14ac:dyDescent="0.2">
      <c r="G455" s="25"/>
      <c r="H455" s="25"/>
      <c r="I455" s="25"/>
      <c r="J455" s="25"/>
      <c r="K455" s="25"/>
      <c r="L455" s="25"/>
      <c r="M455" s="25"/>
      <c r="N455" s="25"/>
      <c r="O455" s="25"/>
      <c r="P455" s="25"/>
    </row>
    <row r="456" spans="2:28" x14ac:dyDescent="0.2">
      <c r="D456" t="s">
        <v>1244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</row>
    <row r="457" spans="2:28" x14ac:dyDescent="0.2">
      <c r="D457" t="s">
        <v>1246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</row>
    <row r="458" spans="2:28" x14ac:dyDescent="0.2">
      <c r="G458" s="25"/>
      <c r="H458" s="25"/>
      <c r="I458" s="25"/>
      <c r="J458" s="25"/>
      <c r="K458" s="25"/>
      <c r="L458" s="25"/>
      <c r="M458" s="25"/>
      <c r="N458" s="25"/>
      <c r="O458" s="25"/>
      <c r="P458" s="25"/>
    </row>
    <row r="459" spans="2:28" x14ac:dyDescent="0.2">
      <c r="G459" s="25"/>
      <c r="H459" s="25"/>
      <c r="I459" s="25"/>
      <c r="J459" s="25"/>
      <c r="K459" s="25"/>
      <c r="L459" s="25"/>
      <c r="M459" s="25"/>
      <c r="N459" s="25"/>
      <c r="O459" s="25"/>
      <c r="P459" s="25"/>
    </row>
    <row r="460" spans="2:28" x14ac:dyDescent="0.2">
      <c r="G460" s="25"/>
      <c r="H460" s="25"/>
      <c r="I460" s="25"/>
      <c r="J460" s="25"/>
      <c r="K460" s="25"/>
      <c r="L460" s="25"/>
      <c r="M460" s="25"/>
      <c r="N460" s="25"/>
      <c r="O460" s="25"/>
      <c r="P460" s="25"/>
    </row>
    <row r="461" spans="2:28" x14ac:dyDescent="0.2">
      <c r="B461" s="99" t="s">
        <v>949</v>
      </c>
      <c r="C461" s="14"/>
      <c r="D461" s="14"/>
      <c r="E461" s="14"/>
      <c r="F461" s="14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2:28" ht="15" x14ac:dyDescent="0.25">
      <c r="B462" s="2"/>
      <c r="G462" s="25"/>
      <c r="H462" s="25"/>
      <c r="I462" s="25"/>
      <c r="J462" s="25"/>
      <c r="K462" s="25"/>
      <c r="L462" s="25"/>
      <c r="M462" s="25"/>
      <c r="N462" s="25"/>
      <c r="O462" s="25"/>
      <c r="P462" s="25"/>
    </row>
    <row r="463" spans="2:28" ht="15" x14ac:dyDescent="0.25">
      <c r="B463" s="2" t="s">
        <v>1049</v>
      </c>
      <c r="E463" s="2">
        <v>2010</v>
      </c>
      <c r="F463" s="2">
        <v>2015</v>
      </c>
      <c r="G463" s="2">
        <v>2020</v>
      </c>
      <c r="H463" s="2">
        <v>2025</v>
      </c>
      <c r="I463" s="2">
        <v>2030</v>
      </c>
      <c r="J463" s="2">
        <v>2035</v>
      </c>
      <c r="K463" s="2">
        <v>2040</v>
      </c>
      <c r="L463" s="2">
        <v>2045</v>
      </c>
      <c r="M463" s="2">
        <v>2050</v>
      </c>
      <c r="N463" s="25"/>
      <c r="O463" s="25"/>
      <c r="P463" s="25"/>
    </row>
    <row r="464" spans="2:28" ht="15" x14ac:dyDescent="0.25">
      <c r="B464" s="2"/>
      <c r="D464" t="s">
        <v>1050</v>
      </c>
      <c r="E464" s="169">
        <f>F464/F470</f>
        <v>421.7465904090829</v>
      </c>
      <c r="F464" s="169">
        <f>G464/G470</f>
        <v>639.00510752948696</v>
      </c>
      <c r="G464" s="6">
        <f>G1412</f>
        <v>757</v>
      </c>
      <c r="H464" s="6">
        <f t="shared" ref="H464:M464" si="386">H1412</f>
        <v>790.5</v>
      </c>
      <c r="I464" s="6">
        <f t="shared" si="386"/>
        <v>824</v>
      </c>
      <c r="J464" s="6">
        <f t="shared" si="386"/>
        <v>842</v>
      </c>
      <c r="K464" s="6">
        <f t="shared" si="386"/>
        <v>848</v>
      </c>
      <c r="L464" s="6">
        <f t="shared" si="386"/>
        <v>847</v>
      </c>
      <c r="M464" s="6">
        <f t="shared" si="386"/>
        <v>846</v>
      </c>
      <c r="N464" s="25"/>
      <c r="O464" s="25"/>
      <c r="P464" s="25"/>
    </row>
    <row r="465" spans="2:28" ht="15" x14ac:dyDescent="0.25">
      <c r="B465" s="2"/>
      <c r="D465" t="s">
        <v>1052</v>
      </c>
      <c r="G465" s="25"/>
      <c r="H465" s="25"/>
      <c r="I465" s="25"/>
      <c r="J465" s="25"/>
      <c r="K465" s="25"/>
      <c r="L465" s="25"/>
      <c r="M465" s="6">
        <f>M2748</f>
        <v>5</v>
      </c>
      <c r="N465" s="25"/>
      <c r="O465" s="25"/>
      <c r="P465" s="25"/>
    </row>
    <row r="466" spans="2:28" ht="15" x14ac:dyDescent="0.25">
      <c r="B466" s="2"/>
      <c r="D466" t="s">
        <v>1331</v>
      </c>
      <c r="E466" s="36"/>
      <c r="F466" s="36"/>
      <c r="G466" s="36"/>
      <c r="H466" s="36"/>
      <c r="I466" s="36"/>
      <c r="J466" s="36"/>
      <c r="K466" s="36"/>
      <c r="L466" s="36"/>
      <c r="M466" s="36">
        <f t="shared" ref="M466" si="387">M2792</f>
        <v>6.7</v>
      </c>
      <c r="N466" s="25"/>
      <c r="O466" s="25"/>
      <c r="P466" s="25"/>
    </row>
    <row r="467" spans="2:28" ht="15" x14ac:dyDescent="0.25">
      <c r="B467" s="2"/>
      <c r="D467" t="s">
        <v>1332</v>
      </c>
      <c r="E467">
        <f>E3145</f>
        <v>7.5</v>
      </c>
      <c r="F467">
        <f>F3145</f>
        <v>9.25</v>
      </c>
      <c r="G467">
        <f t="shared" ref="G467:M467" si="388">G3145</f>
        <v>11</v>
      </c>
      <c r="H467">
        <f t="shared" si="388"/>
        <v>12</v>
      </c>
      <c r="I467">
        <f t="shared" si="388"/>
        <v>13</v>
      </c>
      <c r="J467">
        <f t="shared" si="388"/>
        <v>13</v>
      </c>
      <c r="K467">
        <f t="shared" si="388"/>
        <v>13</v>
      </c>
      <c r="L467">
        <f t="shared" si="388"/>
        <v>13.5</v>
      </c>
      <c r="M467">
        <f t="shared" si="388"/>
        <v>14</v>
      </c>
      <c r="N467" s="25"/>
      <c r="O467" s="25"/>
      <c r="P467" s="25"/>
    </row>
    <row r="468" spans="2:28" ht="15" x14ac:dyDescent="0.25">
      <c r="B468" s="2"/>
      <c r="D468" t="s">
        <v>1251</v>
      </c>
      <c r="E468">
        <f>E1234</f>
        <v>6.55</v>
      </c>
      <c r="F468">
        <f t="shared" ref="F468:M468" si="389">F1234</f>
        <v>11.77</v>
      </c>
      <c r="G468">
        <f t="shared" si="389"/>
        <v>13.89</v>
      </c>
      <c r="H468">
        <f t="shared" si="389"/>
        <v>15.08</v>
      </c>
      <c r="I468">
        <f t="shared" si="389"/>
        <v>16.170000000000002</v>
      </c>
      <c r="J468">
        <f t="shared" si="389"/>
        <v>17.3</v>
      </c>
      <c r="K468">
        <f t="shared" si="389"/>
        <v>18.45</v>
      </c>
      <c r="L468" s="107">
        <f>1/2*(K468+M468)</f>
        <v>20.134999999999998</v>
      </c>
      <c r="M468">
        <f t="shared" si="389"/>
        <v>21.82</v>
      </c>
      <c r="N468" s="25"/>
      <c r="O468" s="25"/>
      <c r="P468" s="25"/>
    </row>
    <row r="469" spans="2:28" ht="15" x14ac:dyDescent="0.25">
      <c r="B469" s="2"/>
      <c r="D469" t="s">
        <v>1336</v>
      </c>
      <c r="E469" s="169">
        <f>F469/F470</f>
        <v>15.246116382567807</v>
      </c>
      <c r="F469">
        <v>23.1</v>
      </c>
      <c r="G469">
        <v>24.6</v>
      </c>
      <c r="H469">
        <v>24.7</v>
      </c>
      <c r="I469" s="107">
        <f>1/2*(H469+J469)</f>
        <v>28.75</v>
      </c>
      <c r="J469">
        <v>32.799999999999997</v>
      </c>
      <c r="K469" s="107">
        <f>2/3*J469+1/3*M469</f>
        <v>33</v>
      </c>
      <c r="L469" s="107">
        <f>1/3*K469+2/3*M469</f>
        <v>33.266666666666666</v>
      </c>
      <c r="M469">
        <v>33.4</v>
      </c>
      <c r="N469" s="50" t="s">
        <v>1337</v>
      </c>
      <c r="O469" s="25"/>
      <c r="P469" s="25"/>
    </row>
    <row r="470" spans="2:28" ht="15" x14ac:dyDescent="0.25">
      <c r="B470" s="2"/>
      <c r="F470" s="170">
        <f>1/2*((F467/E467)+(F468/E468))</f>
        <v>1.5151399491094146</v>
      </c>
      <c r="G470" s="170">
        <f>1/2*((G467/F467)+(G468/F468))</f>
        <v>1.184654067831638</v>
      </c>
      <c r="N470" s="25"/>
      <c r="O470" s="25"/>
      <c r="P470" s="25"/>
    </row>
    <row r="471" spans="2:28" ht="15" x14ac:dyDescent="0.25">
      <c r="B471" s="2"/>
      <c r="E471" s="2">
        <v>2010</v>
      </c>
      <c r="F471" s="2">
        <v>2015</v>
      </c>
      <c r="G471" s="2">
        <v>2020</v>
      </c>
      <c r="H471" s="2">
        <v>2025</v>
      </c>
      <c r="I471" s="2">
        <v>2030</v>
      </c>
      <c r="J471" s="2">
        <v>2035</v>
      </c>
      <c r="K471" s="2">
        <v>2040</v>
      </c>
      <c r="L471" s="2">
        <v>2045</v>
      </c>
      <c r="M471" s="2">
        <v>2050</v>
      </c>
      <c r="N471" s="25"/>
      <c r="O471" s="25"/>
      <c r="P471" s="25"/>
    </row>
    <row r="472" spans="2:28" ht="15" x14ac:dyDescent="0.25">
      <c r="B472" s="2"/>
      <c r="C472" t="s">
        <v>1338</v>
      </c>
      <c r="D472" t="s">
        <v>1245</v>
      </c>
      <c r="E472" s="1">
        <f t="shared" ref="E472:G472" si="390">E464/$E464</f>
        <v>1</v>
      </c>
      <c r="F472" s="1">
        <f t="shared" si="390"/>
        <v>1.5151399491094146</v>
      </c>
      <c r="G472" s="1">
        <f t="shared" si="390"/>
        <v>1.7949167040466889</v>
      </c>
      <c r="H472" s="1">
        <f>H464/$E464</f>
        <v>1.8743482887039731</v>
      </c>
      <c r="I472" s="1">
        <f t="shared" ref="I472:M472" si="391">I464/$E464</f>
        <v>1.9537798733612572</v>
      </c>
      <c r="J472" s="1">
        <f t="shared" si="391"/>
        <v>1.9964595307890516</v>
      </c>
      <c r="K472" s="1">
        <f t="shared" si="391"/>
        <v>2.0106860832649831</v>
      </c>
      <c r="L472" s="1">
        <f t="shared" si="391"/>
        <v>2.008314991185661</v>
      </c>
      <c r="M472" s="1">
        <f t="shared" si="391"/>
        <v>2.0059438991063394</v>
      </c>
      <c r="N472" s="25"/>
      <c r="O472" s="25"/>
      <c r="P472" s="25"/>
    </row>
    <row r="473" spans="2:28" ht="15" x14ac:dyDescent="0.25">
      <c r="B473" s="2"/>
      <c r="D473" t="s">
        <v>793</v>
      </c>
      <c r="E473">
        <v>1</v>
      </c>
      <c r="M473">
        <f>M465/5</f>
        <v>1</v>
      </c>
      <c r="N473" s="25"/>
      <c r="O473" s="25"/>
      <c r="P473" s="25"/>
    </row>
    <row r="474" spans="2:28" ht="15" x14ac:dyDescent="0.25">
      <c r="B474" s="2"/>
      <c r="D474" t="s">
        <v>1333</v>
      </c>
      <c r="E474">
        <v>1</v>
      </c>
      <c r="M474">
        <f>M466/5</f>
        <v>1.34</v>
      </c>
      <c r="N474" s="25"/>
      <c r="O474" s="25"/>
      <c r="P474" s="25"/>
    </row>
    <row r="475" spans="2:28" ht="15" x14ac:dyDescent="0.25">
      <c r="B475" s="2"/>
      <c r="D475" t="s">
        <v>1334</v>
      </c>
      <c r="E475" s="1">
        <f>E467/$E467</f>
        <v>1</v>
      </c>
      <c r="F475" s="1">
        <f>F467/$E467</f>
        <v>1.2333333333333334</v>
      </c>
      <c r="G475" s="1">
        <f t="shared" ref="G475:M475" si="392">G467/$E467</f>
        <v>1.4666666666666666</v>
      </c>
      <c r="H475" s="1">
        <f t="shared" si="392"/>
        <v>1.6</v>
      </c>
      <c r="I475" s="1">
        <f t="shared" si="392"/>
        <v>1.7333333333333334</v>
      </c>
      <c r="J475" s="1">
        <f t="shared" si="392"/>
        <v>1.7333333333333334</v>
      </c>
      <c r="K475" s="1">
        <f t="shared" si="392"/>
        <v>1.7333333333333334</v>
      </c>
      <c r="L475" s="1">
        <f t="shared" si="392"/>
        <v>1.8</v>
      </c>
      <c r="M475" s="1">
        <f t="shared" si="392"/>
        <v>1.8666666666666667</v>
      </c>
      <c r="N475" s="1"/>
      <c r="O475" s="25"/>
      <c r="P475" s="25"/>
    </row>
    <row r="476" spans="2:28" ht="15" x14ac:dyDescent="0.25">
      <c r="B476" s="2"/>
      <c r="D476" t="s">
        <v>916</v>
      </c>
      <c r="E476" s="1">
        <f>E468/$E468</f>
        <v>1</v>
      </c>
      <c r="F476" s="1">
        <f>F468/$E468</f>
        <v>1.7969465648854961</v>
      </c>
      <c r="G476" s="1">
        <f t="shared" ref="G476:M476" si="393">G468/$E468</f>
        <v>2.1206106870229009</v>
      </c>
      <c r="H476" s="1">
        <f t="shared" si="393"/>
        <v>2.3022900763358778</v>
      </c>
      <c r="I476" s="1">
        <f t="shared" si="393"/>
        <v>2.4687022900763362</v>
      </c>
      <c r="J476" s="1">
        <f t="shared" si="393"/>
        <v>2.6412213740458017</v>
      </c>
      <c r="K476" s="1">
        <f t="shared" si="393"/>
        <v>2.8167938931297711</v>
      </c>
      <c r="L476" s="1">
        <f t="shared" si="393"/>
        <v>3.0740458015267174</v>
      </c>
      <c r="M476" s="1">
        <f t="shared" si="393"/>
        <v>3.3312977099236645</v>
      </c>
      <c r="N476" s="25"/>
      <c r="O476" s="25"/>
      <c r="P476" s="25"/>
    </row>
    <row r="477" spans="2:28" ht="15" x14ac:dyDescent="0.25">
      <c r="B477" s="2"/>
      <c r="D477" t="s">
        <v>1335</v>
      </c>
      <c r="E477" s="1">
        <f t="shared" ref="E477:L477" si="394">E469/$E469</f>
        <v>1</v>
      </c>
      <c r="F477" s="1">
        <f t="shared" si="394"/>
        <v>1.5151399491094146</v>
      </c>
      <c r="G477" s="1">
        <f t="shared" si="394"/>
        <v>1.6135256600905454</v>
      </c>
      <c r="H477" s="1">
        <f t="shared" si="394"/>
        <v>1.6200847074892875</v>
      </c>
      <c r="I477" s="1">
        <f t="shared" si="394"/>
        <v>1.8857261271383408</v>
      </c>
      <c r="J477" s="1">
        <f t="shared" si="394"/>
        <v>2.1513675467873936</v>
      </c>
      <c r="K477" s="1">
        <f t="shared" si="394"/>
        <v>2.1644856415848781</v>
      </c>
      <c r="L477" s="1">
        <f t="shared" si="394"/>
        <v>2.18197643464819</v>
      </c>
      <c r="M477" s="1">
        <f t="shared" ref="M477" si="395">M469/$E469</f>
        <v>2.1907218311798462</v>
      </c>
      <c r="N477" s="25"/>
      <c r="O477" s="25"/>
      <c r="P477" s="25"/>
    </row>
    <row r="478" spans="2:28" ht="15" x14ac:dyDescent="0.25">
      <c r="B478" s="2"/>
      <c r="N478" s="25"/>
      <c r="O478" s="25"/>
      <c r="P478" s="25"/>
    </row>
    <row r="479" spans="2:28" x14ac:dyDescent="0.2">
      <c r="B479" s="99" t="s">
        <v>949</v>
      </c>
      <c r="C479" s="14"/>
      <c r="D479" s="14"/>
      <c r="E479" s="14"/>
      <c r="F479" s="14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2:28" x14ac:dyDescent="0.2">
      <c r="B480" s="102"/>
      <c r="C480" s="29"/>
      <c r="D480" s="29"/>
      <c r="E480" s="29"/>
      <c r="F480" s="29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</row>
    <row r="481" spans="2:28" ht="15" x14ac:dyDescent="0.25">
      <c r="B481" s="2" t="s">
        <v>1256</v>
      </c>
      <c r="C481" s="29"/>
      <c r="D481" s="29"/>
      <c r="E481" s="29"/>
      <c r="F481" s="29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</row>
    <row r="482" spans="2:28" ht="15" x14ac:dyDescent="0.25">
      <c r="B482" s="155"/>
      <c r="C482" s="29"/>
      <c r="D482" s="29" t="s">
        <v>187</v>
      </c>
      <c r="E482" s="2">
        <v>2010</v>
      </c>
      <c r="F482" s="2">
        <v>2015</v>
      </c>
      <c r="G482" s="2">
        <v>2020</v>
      </c>
      <c r="H482" s="2">
        <v>2025</v>
      </c>
      <c r="I482" s="2">
        <v>2030</v>
      </c>
      <c r="J482" s="2">
        <v>2035</v>
      </c>
      <c r="K482" s="2">
        <v>2040</v>
      </c>
      <c r="L482" s="2">
        <v>2045</v>
      </c>
      <c r="M482" s="2">
        <v>2050</v>
      </c>
      <c r="N482" s="27"/>
      <c r="O482" s="27"/>
      <c r="P482" s="27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</row>
    <row r="483" spans="2:28" x14ac:dyDescent="0.2">
      <c r="C483" s="156" t="str">
        <f>C937</f>
        <v>Bestand Kernkraftwerke (ohne Zusatzmassnahmen)</v>
      </c>
      <c r="D483" s="29" t="s">
        <v>1258</v>
      </c>
      <c r="E483" s="29"/>
      <c r="F483" s="29" t="str">
        <f t="shared" ref="F483:J483" si="396">F937</f>
        <v>-</v>
      </c>
      <c r="G483" s="29" t="str">
        <f t="shared" si="396"/>
        <v>-</v>
      </c>
      <c r="H483" s="29" t="str">
        <f t="shared" si="396"/>
        <v>-</v>
      </c>
      <c r="I483" s="29" t="str">
        <f t="shared" si="396"/>
        <v>-</v>
      </c>
      <c r="J483" s="29">
        <f t="shared" si="396"/>
        <v>5.2</v>
      </c>
      <c r="K483" s="29"/>
      <c r="L483" s="29"/>
      <c r="M483" s="29"/>
      <c r="N483" s="27"/>
      <c r="O483" s="27"/>
      <c r="P483" s="27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</row>
    <row r="484" spans="2:28" x14ac:dyDescent="0.2">
      <c r="B484" s="102"/>
      <c r="C484" s="156" t="str">
        <f t="shared" ref="C484" si="397">C938</f>
        <v>Bestand Wasserkraft (Heimfallverzichtsentschädigung, etc.)</v>
      </c>
      <c r="D484" s="29" t="s">
        <v>1257</v>
      </c>
      <c r="E484" s="29"/>
      <c r="F484" s="29"/>
      <c r="G484" s="29" t="str">
        <f t="shared" ref="G484:M484" si="398">G938</f>
        <v>-</v>
      </c>
      <c r="H484" s="29" t="str">
        <f t="shared" si="398"/>
        <v>-</v>
      </c>
      <c r="I484" s="29" t="str">
        <f t="shared" si="398"/>
        <v>-</v>
      </c>
      <c r="J484" s="29">
        <f t="shared" si="398"/>
        <v>4</v>
      </c>
      <c r="K484" s="29" t="str">
        <f t="shared" si="398"/>
        <v>-</v>
      </c>
      <c r="L484" s="29" t="str">
        <f t="shared" si="398"/>
        <v>-</v>
      </c>
      <c r="M484" s="29">
        <f t="shared" si="398"/>
        <v>24</v>
      </c>
      <c r="N484" s="27"/>
      <c r="O484" s="27"/>
      <c r="P484" s="27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</row>
    <row r="485" spans="2:28" x14ac:dyDescent="0.2">
      <c r="B485" s="102"/>
      <c r="C485" s="156" t="str">
        <f t="shared" ref="C485" si="399">C939</f>
        <v>Kraftwerke Zubau fossil-thermisch (Szenario 1)</v>
      </c>
      <c r="D485" s="29" t="s">
        <v>1259</v>
      </c>
      <c r="E485" s="29"/>
      <c r="F485" s="29" t="str">
        <f t="shared" ref="F485:M485" si="400">F939</f>
        <v>-</v>
      </c>
      <c r="G485" s="29" t="str">
        <f t="shared" si="400"/>
        <v>-</v>
      </c>
      <c r="H485" s="29" t="str">
        <f t="shared" si="400"/>
        <v>-</v>
      </c>
      <c r="I485" s="29" t="str">
        <f t="shared" si="400"/>
        <v>-</v>
      </c>
      <c r="J485" s="29">
        <f t="shared" si="400"/>
        <v>2.5</v>
      </c>
      <c r="K485" s="29" t="str">
        <f t="shared" si="400"/>
        <v>-</v>
      </c>
      <c r="L485" s="29" t="str">
        <f t="shared" si="400"/>
        <v>-</v>
      </c>
      <c r="M485" s="29">
        <f t="shared" si="400"/>
        <v>2.7</v>
      </c>
      <c r="N485" s="27"/>
      <c r="O485" s="27"/>
      <c r="P485" s="27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</row>
    <row r="486" spans="2:28" x14ac:dyDescent="0.2">
      <c r="B486" s="102"/>
      <c r="C486" s="156" t="str">
        <f t="shared" ref="C486" si="401">C940</f>
        <v>Kraftwerke Zubau Erneuerbar (Szenario 1)</v>
      </c>
      <c r="D486" s="29" t="s">
        <v>1260</v>
      </c>
      <c r="E486" s="29"/>
      <c r="F486" s="29" t="str">
        <f t="shared" ref="F486:M486" si="402">F940</f>
        <v>-</v>
      </c>
      <c r="G486" s="29" t="str">
        <f t="shared" si="402"/>
        <v>-</v>
      </c>
      <c r="H486" s="29" t="str">
        <f t="shared" si="402"/>
        <v>-</v>
      </c>
      <c r="I486" s="29" t="str">
        <f t="shared" si="402"/>
        <v>-</v>
      </c>
      <c r="J486" s="29">
        <f t="shared" si="402"/>
        <v>12.9</v>
      </c>
      <c r="K486" s="29" t="str">
        <f t="shared" si="402"/>
        <v>-</v>
      </c>
      <c r="L486" s="29" t="str">
        <f t="shared" si="402"/>
        <v>-</v>
      </c>
      <c r="M486" s="29">
        <f t="shared" si="402"/>
        <v>22.4</v>
      </c>
      <c r="N486" s="27"/>
      <c r="O486" s="27"/>
      <c r="P486" s="27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</row>
    <row r="487" spans="2:28" x14ac:dyDescent="0.2">
      <c r="B487" s="102"/>
      <c r="C487" s="156" t="str">
        <f t="shared" ref="C487" si="403">C941</f>
        <v>Kraftwerke Zubau fossil-thermisch (Szenario 2)</v>
      </c>
      <c r="D487" s="29" t="s">
        <v>1261</v>
      </c>
      <c r="E487" s="29"/>
      <c r="F487" s="29" t="str">
        <f t="shared" ref="F487:M487" si="404">F941</f>
        <v>-</v>
      </c>
      <c r="G487" s="29" t="str">
        <f t="shared" si="404"/>
        <v>-</v>
      </c>
      <c r="H487" s="29" t="str">
        <f t="shared" si="404"/>
        <v>-</v>
      </c>
      <c r="I487" s="29" t="str">
        <f t="shared" si="404"/>
        <v>-</v>
      </c>
      <c r="J487" s="29">
        <f t="shared" si="404"/>
        <v>1.4</v>
      </c>
      <c r="K487" s="29" t="str">
        <f t="shared" si="404"/>
        <v>-</v>
      </c>
      <c r="L487" s="29" t="str">
        <f t="shared" si="404"/>
        <v>-</v>
      </c>
      <c r="M487" s="29">
        <f t="shared" si="404"/>
        <v>1.4</v>
      </c>
      <c r="N487" s="27"/>
      <c r="O487" s="27"/>
      <c r="P487" s="27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</row>
    <row r="488" spans="2:28" x14ac:dyDescent="0.2">
      <c r="B488" s="102"/>
      <c r="C488" s="156" t="str">
        <f t="shared" ref="C488" si="405">C942</f>
        <v>Kraftwerke Zubau Erneuerbar (Szenario 2)</v>
      </c>
      <c r="D488" s="29" t="s">
        <v>1262</v>
      </c>
      <c r="E488" s="29"/>
      <c r="F488" s="29" t="str">
        <f t="shared" ref="F488:M488" si="406">F942</f>
        <v>-</v>
      </c>
      <c r="G488" s="29" t="str">
        <f t="shared" si="406"/>
        <v>-</v>
      </c>
      <c r="H488" s="29" t="str">
        <f t="shared" si="406"/>
        <v>-</v>
      </c>
      <c r="I488" s="29" t="str">
        <f t="shared" si="406"/>
        <v>-</v>
      </c>
      <c r="J488" s="29">
        <f t="shared" si="406"/>
        <v>17.5</v>
      </c>
      <c r="K488" s="29" t="str">
        <f t="shared" si="406"/>
        <v>-</v>
      </c>
      <c r="L488" s="29" t="str">
        <f t="shared" si="406"/>
        <v>-</v>
      </c>
      <c r="M488" s="29">
        <f t="shared" si="406"/>
        <v>36.799999999999997</v>
      </c>
      <c r="N488" s="27"/>
      <c r="O488" s="27"/>
      <c r="P488" s="27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</row>
    <row r="489" spans="2:28" x14ac:dyDescent="0.2">
      <c r="B489" s="102"/>
      <c r="C489" s="156" t="str">
        <f t="shared" ref="C489" si="407">C943</f>
        <v>Kraftwerke Zubau fossil-thermisch (Szenario 3)</v>
      </c>
      <c r="D489" s="29" t="s">
        <v>1263</v>
      </c>
      <c r="E489" s="29"/>
      <c r="F489" s="29" t="str">
        <f t="shared" ref="F489:M489" si="408">F943</f>
        <v>-</v>
      </c>
      <c r="G489" s="29" t="str">
        <f t="shared" si="408"/>
        <v>-</v>
      </c>
      <c r="H489" s="29" t="str">
        <f t="shared" si="408"/>
        <v>-</v>
      </c>
      <c r="I489" s="29" t="str">
        <f t="shared" si="408"/>
        <v>-</v>
      </c>
      <c r="J489" s="29">
        <f t="shared" si="408"/>
        <v>0</v>
      </c>
      <c r="K489" s="29" t="str">
        <f t="shared" si="408"/>
        <v>-</v>
      </c>
      <c r="L489" s="29" t="str">
        <f t="shared" si="408"/>
        <v>-</v>
      </c>
      <c r="M489" s="29">
        <f t="shared" si="408"/>
        <v>0</v>
      </c>
      <c r="N489" s="27"/>
      <c r="O489" s="27"/>
      <c r="P489" s="27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</row>
    <row r="490" spans="2:28" x14ac:dyDescent="0.2">
      <c r="B490" s="102"/>
      <c r="C490" s="156" t="str">
        <f t="shared" ref="C490" si="409">C944</f>
        <v>Kraftwerke Zubau Erneuerbar (Szenario 3)</v>
      </c>
      <c r="D490" s="29" t="s">
        <v>1264</v>
      </c>
      <c r="E490" s="29"/>
      <c r="F490" s="29" t="str">
        <f t="shared" ref="F490:M490" si="410">F944</f>
        <v>-</v>
      </c>
      <c r="G490" s="29" t="str">
        <f t="shared" si="410"/>
        <v>-</v>
      </c>
      <c r="H490" s="29" t="str">
        <f t="shared" si="410"/>
        <v>-</v>
      </c>
      <c r="I490" s="29" t="str">
        <f t="shared" si="410"/>
        <v>-</v>
      </c>
      <c r="J490" s="29">
        <f t="shared" si="410"/>
        <v>19.600000000000001</v>
      </c>
      <c r="K490" s="29" t="str">
        <f t="shared" si="410"/>
        <v>-</v>
      </c>
      <c r="L490" s="29" t="str">
        <f t="shared" si="410"/>
        <v>-</v>
      </c>
      <c r="M490" s="29">
        <f t="shared" si="410"/>
        <v>48.8</v>
      </c>
      <c r="N490" s="27"/>
      <c r="O490" s="27"/>
      <c r="P490" s="27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</row>
    <row r="491" spans="2:28" x14ac:dyDescent="0.2">
      <c r="B491" s="102"/>
      <c r="C491" s="156" t="str">
        <f t="shared" ref="C491" si="411">C945</f>
        <v>Kraftwerke Zubau (Szenario 1)</v>
      </c>
      <c r="D491" s="29" t="s">
        <v>1271</v>
      </c>
      <c r="E491" s="29"/>
      <c r="F491" s="29" t="str">
        <f t="shared" ref="F491:L491" si="412">F945</f>
        <v>-</v>
      </c>
      <c r="G491" s="29" t="str">
        <f t="shared" si="412"/>
        <v>-</v>
      </c>
      <c r="H491" s="29" t="str">
        <f t="shared" si="412"/>
        <v>-</v>
      </c>
      <c r="I491" s="29" t="str">
        <f t="shared" si="412"/>
        <v>-</v>
      </c>
      <c r="J491" s="157">
        <f>J485+J486+J483+J484</f>
        <v>24.6</v>
      </c>
      <c r="K491" s="29" t="str">
        <f t="shared" si="412"/>
        <v>-</v>
      </c>
      <c r="L491" s="29" t="str">
        <f t="shared" si="412"/>
        <v>-</v>
      </c>
      <c r="M491" s="157">
        <f>M485+M486+J483+M484</f>
        <v>54.3</v>
      </c>
      <c r="N491" s="27"/>
      <c r="O491" s="27"/>
      <c r="P491" s="27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</row>
    <row r="492" spans="2:28" x14ac:dyDescent="0.2">
      <c r="B492" s="102"/>
      <c r="C492" s="156" t="str">
        <f t="shared" ref="C492" si="413">C946</f>
        <v>Kraftwerke Zubau (Szenario 2)</v>
      </c>
      <c r="D492" s="29" t="s">
        <v>1272</v>
      </c>
      <c r="E492" s="29"/>
      <c r="F492" s="29" t="str">
        <f t="shared" ref="F492:L492" si="414">F946</f>
        <v>-</v>
      </c>
      <c r="G492" s="29" t="str">
        <f t="shared" si="414"/>
        <v>-</v>
      </c>
      <c r="H492" s="29" t="str">
        <f t="shared" si="414"/>
        <v>-</v>
      </c>
      <c r="I492" s="29" t="str">
        <f t="shared" si="414"/>
        <v>-</v>
      </c>
      <c r="J492" s="157">
        <f>J487+J488+J483+J484</f>
        <v>28.099999999999998</v>
      </c>
      <c r="K492" s="29" t="str">
        <f t="shared" si="414"/>
        <v>-</v>
      </c>
      <c r="L492" s="29" t="str">
        <f t="shared" si="414"/>
        <v>-</v>
      </c>
      <c r="M492" s="157">
        <f>M487+M488+J483+M484</f>
        <v>67.400000000000006</v>
      </c>
      <c r="N492" s="27"/>
      <c r="O492" s="27"/>
      <c r="P492" s="27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</row>
    <row r="493" spans="2:28" x14ac:dyDescent="0.2">
      <c r="B493" s="102"/>
      <c r="C493" s="156" t="str">
        <f t="shared" ref="C493" si="415">C947</f>
        <v>Kraftwerke Zubau (Szenario 3)</v>
      </c>
      <c r="D493" s="29" t="s">
        <v>1273</v>
      </c>
      <c r="E493" s="29"/>
      <c r="F493" s="29" t="str">
        <f t="shared" ref="F493:L493" si="416">F947</f>
        <v>-</v>
      </c>
      <c r="G493" s="29" t="str">
        <f t="shared" si="416"/>
        <v>-</v>
      </c>
      <c r="H493" s="29" t="str">
        <f t="shared" si="416"/>
        <v>-</v>
      </c>
      <c r="I493" s="29" t="str">
        <f t="shared" si="416"/>
        <v>-</v>
      </c>
      <c r="J493" s="157">
        <f>J489+J490+J483+J484</f>
        <v>28.8</v>
      </c>
      <c r="K493" s="29" t="str">
        <f t="shared" si="416"/>
        <v>-</v>
      </c>
      <c r="L493" s="29" t="str">
        <f t="shared" si="416"/>
        <v>-</v>
      </c>
      <c r="M493" s="157">
        <f>M489+M490+J483+M484</f>
        <v>78</v>
      </c>
      <c r="N493" s="27"/>
      <c r="O493" s="27"/>
      <c r="P493" s="27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</row>
    <row r="494" spans="2:28" x14ac:dyDescent="0.2">
      <c r="B494" s="102"/>
      <c r="C494" s="156"/>
      <c r="D494" s="29" t="s">
        <v>1275</v>
      </c>
      <c r="E494" s="29"/>
      <c r="F494" s="29"/>
      <c r="G494" s="29"/>
      <c r="H494" s="29"/>
      <c r="I494" s="29"/>
      <c r="J494" s="157">
        <f>J491-J483-J484</f>
        <v>15.400000000000002</v>
      </c>
      <c r="K494" s="29"/>
      <c r="L494" s="29"/>
      <c r="M494" s="157">
        <f>M491-J483-M484</f>
        <v>25.099999999999994</v>
      </c>
      <c r="N494" s="27"/>
      <c r="O494" s="27"/>
      <c r="P494" s="27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</row>
    <row r="495" spans="2:28" x14ac:dyDescent="0.2">
      <c r="B495" s="102"/>
      <c r="C495" s="156"/>
      <c r="D495" s="29" t="s">
        <v>1276</v>
      </c>
      <c r="E495" s="29"/>
      <c r="F495" s="29"/>
      <c r="G495" s="29"/>
      <c r="H495" s="29"/>
      <c r="I495" s="29"/>
      <c r="J495" s="157">
        <f>J492-J483-J484</f>
        <v>18.899999999999999</v>
      </c>
      <c r="K495" s="29"/>
      <c r="L495" s="29"/>
      <c r="M495" s="157">
        <f>M492-J483-M484</f>
        <v>38.200000000000003</v>
      </c>
      <c r="N495" s="27"/>
      <c r="O495" s="27"/>
      <c r="P495" s="27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</row>
    <row r="496" spans="2:28" x14ac:dyDescent="0.2">
      <c r="B496" s="102"/>
      <c r="C496" s="156"/>
      <c r="D496" s="29" t="s">
        <v>1277</v>
      </c>
      <c r="E496" s="29"/>
      <c r="F496" s="29"/>
      <c r="G496" s="29"/>
      <c r="H496" s="29"/>
      <c r="I496" s="29"/>
      <c r="J496" s="157">
        <f>J493-J483-J484</f>
        <v>19.600000000000001</v>
      </c>
      <c r="K496" s="29"/>
      <c r="L496" s="29"/>
      <c r="M496" s="157">
        <f>M493-J483-M484</f>
        <v>48.8</v>
      </c>
      <c r="N496" s="27"/>
      <c r="O496" s="27"/>
      <c r="P496" s="27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</row>
    <row r="497" spans="2:72" x14ac:dyDescent="0.2">
      <c r="B497" s="102"/>
      <c r="C497" s="156" t="str">
        <f t="shared" ref="C497" si="417">C951</f>
        <v>Zubau (Szenario 1)</v>
      </c>
      <c r="D497" s="29" t="s">
        <v>1265</v>
      </c>
      <c r="E497" s="29"/>
      <c r="F497" s="29" t="str">
        <f t="shared" ref="F497:M497" si="418">F951</f>
        <v>-</v>
      </c>
      <c r="G497" s="29" t="str">
        <f t="shared" si="418"/>
        <v>-</v>
      </c>
      <c r="H497" s="29" t="str">
        <f t="shared" si="418"/>
        <v>-</v>
      </c>
      <c r="I497" s="29" t="str">
        <f t="shared" si="418"/>
        <v>-</v>
      </c>
      <c r="J497" s="29">
        <f t="shared" si="418"/>
        <v>17.7</v>
      </c>
      <c r="K497" s="29" t="str">
        <f t="shared" si="418"/>
        <v>-</v>
      </c>
      <c r="L497" s="29" t="str">
        <f t="shared" si="418"/>
        <v>-</v>
      </c>
      <c r="M497" s="29">
        <f t="shared" si="418"/>
        <v>30.141999999999999</v>
      </c>
      <c r="N497" s="27"/>
      <c r="O497" s="27"/>
      <c r="P497" s="27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</row>
    <row r="498" spans="2:72" x14ac:dyDescent="0.2">
      <c r="B498" s="102"/>
      <c r="C498" s="156" t="str">
        <f t="shared" ref="C498" si="419">C952</f>
        <v>Zubau+Bestand (Szenario 1)</v>
      </c>
      <c r="D498" s="29" t="s">
        <v>1266</v>
      </c>
      <c r="E498" s="29"/>
      <c r="F498" s="29" t="str">
        <f t="shared" ref="F498:M498" si="420">F952</f>
        <v>-</v>
      </c>
      <c r="G498" s="29" t="str">
        <f t="shared" si="420"/>
        <v>-</v>
      </c>
      <c r="H498" s="29" t="str">
        <f t="shared" si="420"/>
        <v>-</v>
      </c>
      <c r="I498" s="29" t="str">
        <f t="shared" si="420"/>
        <v>-</v>
      </c>
      <c r="J498" s="29">
        <f t="shared" si="420"/>
        <v>64.7</v>
      </c>
      <c r="K498" s="29" t="str">
        <f t="shared" si="420"/>
        <v>-</v>
      </c>
      <c r="L498" s="29" t="str">
        <f t="shared" si="420"/>
        <v>-</v>
      </c>
      <c r="M498" s="29">
        <f t="shared" si="420"/>
        <v>116.9</v>
      </c>
      <c r="N498" s="27"/>
      <c r="O498" s="27"/>
      <c r="P498" s="27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</row>
    <row r="499" spans="2:72" x14ac:dyDescent="0.2">
      <c r="B499" s="102"/>
      <c r="C499" s="156" t="str">
        <f t="shared" ref="C499" si="421">C953</f>
        <v>Zubau (Szenario 2)</v>
      </c>
      <c r="D499" s="29" t="s">
        <v>1267</v>
      </c>
      <c r="E499" s="29"/>
      <c r="F499" s="29" t="str">
        <f t="shared" ref="F499:M499" si="422">F953</f>
        <v>-</v>
      </c>
      <c r="G499" s="29" t="str">
        <f t="shared" si="422"/>
        <v>-</v>
      </c>
      <c r="H499" s="29" t="str">
        <f t="shared" si="422"/>
        <v>-</v>
      </c>
      <c r="I499" s="29" t="str">
        <f t="shared" si="422"/>
        <v>-</v>
      </c>
      <c r="J499" s="29">
        <f t="shared" si="422"/>
        <v>23.099999999999998</v>
      </c>
      <c r="K499" s="29" t="str">
        <f t="shared" si="422"/>
        <v>-</v>
      </c>
      <c r="L499" s="29" t="str">
        <f t="shared" si="422"/>
        <v>-</v>
      </c>
      <c r="M499" s="29">
        <f t="shared" si="422"/>
        <v>49.599999999999994</v>
      </c>
      <c r="N499" s="27"/>
      <c r="O499" s="27"/>
      <c r="P499" s="27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</row>
    <row r="500" spans="2:72" x14ac:dyDescent="0.2">
      <c r="B500" s="102"/>
      <c r="C500" s="156" t="str">
        <f t="shared" ref="C500" si="423">C954</f>
        <v>Zubau+Bestand (Szenario 2)</v>
      </c>
      <c r="D500" s="29" t="s">
        <v>1268</v>
      </c>
      <c r="E500" s="29"/>
      <c r="F500" s="29" t="str">
        <f t="shared" ref="F500:M500" si="424">F954</f>
        <v>-</v>
      </c>
      <c r="G500" s="29" t="str">
        <f t="shared" si="424"/>
        <v>-</v>
      </c>
      <c r="H500" s="29" t="str">
        <f t="shared" si="424"/>
        <v>-</v>
      </c>
      <c r="I500" s="29" t="str">
        <f t="shared" si="424"/>
        <v>-</v>
      </c>
      <c r="J500" s="29">
        <f t="shared" si="424"/>
        <v>70.900000000000006</v>
      </c>
      <c r="K500" s="29" t="str">
        <f t="shared" si="424"/>
        <v>-</v>
      </c>
      <c r="L500" s="29" t="str">
        <f t="shared" si="424"/>
        <v>-</v>
      </c>
      <c r="M500" s="29">
        <f t="shared" si="424"/>
        <v>141.6</v>
      </c>
      <c r="N500" s="27"/>
      <c r="O500" s="27"/>
      <c r="P500" s="27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</row>
    <row r="501" spans="2:72" ht="15" x14ac:dyDescent="0.25">
      <c r="B501" s="2"/>
      <c r="C501" s="156" t="str">
        <f t="shared" ref="C501" si="425">C955</f>
        <v>Zubau (Szenario 3)</v>
      </c>
      <c r="D501" s="29" t="s">
        <v>1269</v>
      </c>
      <c r="E501" s="29"/>
      <c r="F501" s="29" t="str">
        <f t="shared" ref="F501:M501" si="426">F955</f>
        <v>-</v>
      </c>
      <c r="G501" s="29" t="str">
        <f t="shared" si="426"/>
        <v>-</v>
      </c>
      <c r="H501" s="29" t="str">
        <f t="shared" si="426"/>
        <v>-</v>
      </c>
      <c r="I501" s="29" t="str">
        <f t="shared" si="426"/>
        <v>-</v>
      </c>
      <c r="J501" s="29">
        <f t="shared" si="426"/>
        <v>22.200000000000003</v>
      </c>
      <c r="K501" s="29" t="str">
        <f t="shared" si="426"/>
        <v>-</v>
      </c>
      <c r="L501" s="29" t="str">
        <f t="shared" si="426"/>
        <v>-</v>
      </c>
      <c r="M501" s="29">
        <f t="shared" si="426"/>
        <v>61.101999999999997</v>
      </c>
      <c r="N501" s="25"/>
      <c r="O501" s="25"/>
      <c r="P501" s="25"/>
    </row>
    <row r="502" spans="2:72" ht="15" x14ac:dyDescent="0.25">
      <c r="B502" s="2"/>
      <c r="C502" s="156" t="str">
        <f t="shared" ref="C502" si="427">C956</f>
        <v>Zubau+Bestand (Szenario 3)</v>
      </c>
      <c r="D502" s="29" t="s">
        <v>1270</v>
      </c>
      <c r="E502" s="29"/>
      <c r="F502" s="29" t="str">
        <f t="shared" ref="F502:M502" si="428">F956</f>
        <v>-</v>
      </c>
      <c r="G502" s="29" t="str">
        <f t="shared" si="428"/>
        <v>-</v>
      </c>
      <c r="H502" s="29" t="str">
        <f t="shared" si="428"/>
        <v>-</v>
      </c>
      <c r="I502" s="29" t="str">
        <f t="shared" si="428"/>
        <v>-</v>
      </c>
      <c r="J502" s="29">
        <f t="shared" si="428"/>
        <v>69.5</v>
      </c>
      <c r="K502" s="29" t="str">
        <f t="shared" si="428"/>
        <v>-</v>
      </c>
      <c r="L502" s="29" t="str">
        <f t="shared" si="428"/>
        <v>-</v>
      </c>
      <c r="M502" s="29">
        <f t="shared" si="428"/>
        <v>151.60000000000002</v>
      </c>
      <c r="N502" s="25"/>
      <c r="O502" s="25"/>
      <c r="P502" s="25"/>
    </row>
    <row r="503" spans="2:72" ht="15" x14ac:dyDescent="0.25">
      <c r="B503" s="2"/>
      <c r="C503" s="156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5"/>
      <c r="O503" s="25"/>
      <c r="P503" s="25"/>
    </row>
    <row r="504" spans="2:72" x14ac:dyDescent="0.2">
      <c r="B504" s="99" t="s">
        <v>949</v>
      </c>
      <c r="C504" s="14"/>
      <c r="D504" s="14"/>
      <c r="E504" s="14"/>
      <c r="F504" s="14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</row>
    <row r="505" spans="2:72" ht="15" x14ac:dyDescent="0.25">
      <c r="B505" s="2"/>
      <c r="C505" s="156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5"/>
      <c r="O505" s="25"/>
      <c r="P505" s="25"/>
    </row>
    <row r="506" spans="2:72" ht="15" x14ac:dyDescent="0.25">
      <c r="B506" s="2"/>
      <c r="C506" s="156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5"/>
      <c r="O506" s="25"/>
      <c r="P506" s="25"/>
    </row>
    <row r="507" spans="2:72" x14ac:dyDescent="0.2">
      <c r="G507" s="25"/>
      <c r="H507" s="100"/>
      <c r="I507" s="100"/>
      <c r="J507" s="25"/>
      <c r="K507" s="25"/>
      <c r="L507" s="25"/>
      <c r="M507" s="25"/>
      <c r="N507" s="25"/>
      <c r="O507" s="25"/>
      <c r="P507" s="25"/>
      <c r="X507" s="13"/>
      <c r="Y507" s="13"/>
      <c r="Z507" s="13"/>
      <c r="AA507" s="13"/>
      <c r="AB507" s="13"/>
      <c r="AC507" s="13"/>
      <c r="AD507" s="13"/>
      <c r="AE507" s="13"/>
      <c r="AF507" s="13"/>
    </row>
    <row r="508" spans="2:72" ht="15" x14ac:dyDescent="0.25">
      <c r="B508" s="2" t="s">
        <v>1299</v>
      </c>
      <c r="I508" s="13"/>
      <c r="J508" s="13"/>
      <c r="K508" s="13"/>
      <c r="L508" s="13"/>
      <c r="M508" s="13"/>
      <c r="N508" s="13"/>
      <c r="O508" s="13"/>
      <c r="P508" s="13"/>
      <c r="X508" s="13"/>
    </row>
    <row r="509" spans="2:72" ht="15" x14ac:dyDescent="0.25">
      <c r="B509" s="13" t="s">
        <v>129</v>
      </c>
      <c r="D509" s="2">
        <v>2011</v>
      </c>
      <c r="E509" s="2" t="s">
        <v>938</v>
      </c>
      <c r="F509" s="2" t="s">
        <v>939</v>
      </c>
      <c r="G509" s="2" t="s">
        <v>940</v>
      </c>
      <c r="H509" s="50" t="s">
        <v>1228</v>
      </c>
      <c r="I509" s="50" t="s">
        <v>942</v>
      </c>
      <c r="J509" s="50" t="s">
        <v>1232</v>
      </c>
      <c r="K509" s="50" t="s">
        <v>944</v>
      </c>
      <c r="L509" s="50" t="s">
        <v>1229</v>
      </c>
      <c r="M509" s="50" t="s">
        <v>1230</v>
      </c>
      <c r="N509" s="50" t="s">
        <v>947</v>
      </c>
      <c r="O509" s="50" t="s">
        <v>1231</v>
      </c>
      <c r="P509" s="50" t="s">
        <v>916</v>
      </c>
      <c r="Q509" s="50" t="s">
        <v>988</v>
      </c>
      <c r="R509" s="50" t="s">
        <v>1306</v>
      </c>
      <c r="S509" s="50" t="s">
        <v>1307</v>
      </c>
      <c r="T509" s="50" t="s">
        <v>1346</v>
      </c>
      <c r="U509" s="50" t="s">
        <v>1358</v>
      </c>
      <c r="V509" s="50" t="s">
        <v>1359</v>
      </c>
      <c r="W509" s="50" t="s">
        <v>1352</v>
      </c>
      <c r="X509" s="50" t="s">
        <v>1360</v>
      </c>
      <c r="Y509" s="50" t="s">
        <v>1361</v>
      </c>
      <c r="Z509" s="50" t="s">
        <v>1349</v>
      </c>
      <c r="AA509" s="50" t="s">
        <v>1362</v>
      </c>
      <c r="AB509" s="50" t="s">
        <v>1363</v>
      </c>
      <c r="AC509" s="50" t="s">
        <v>1356</v>
      </c>
      <c r="AD509" s="50" t="s">
        <v>1357</v>
      </c>
      <c r="AU509">
        <f t="shared" ref="AU509:AU521" si="429">D509</f>
        <v>2011</v>
      </c>
      <c r="AV509" s="160" t="str">
        <f t="shared" ref="AV509:AV521" si="430">E509</f>
        <v>VSE, Szen.1</v>
      </c>
      <c r="AW509" s="160" t="str">
        <f t="shared" ref="AW509:AW521" si="431">F509</f>
        <v>VSE, Szen.2</v>
      </c>
      <c r="AX509" s="160" t="str">
        <f t="shared" ref="AX509:AX521" si="432">G509</f>
        <v>VSE, Szen.3</v>
      </c>
      <c r="AY509" s="160" t="str">
        <f t="shared" ref="AY509:AY521" si="433">H509</f>
        <v xml:space="preserve">BFE, WWB+C    </v>
      </c>
      <c r="AZ509" s="160" t="str">
        <f t="shared" ref="AZ509:AZ521" si="434">M509</f>
        <v xml:space="preserve">BFE, POM+C    </v>
      </c>
      <c r="BA509" s="160" t="str">
        <f t="shared" ref="BA509:BA521" si="435">J509</f>
        <v xml:space="preserve">BFE, NEP+C    </v>
      </c>
      <c r="BB509" s="160" t="str">
        <f t="shared" ref="BB509:BB521" si="436">I509</f>
        <v>BFE, WWB+C+E</v>
      </c>
      <c r="BC509" s="160" t="str">
        <f t="shared" ref="BC509:BC521" si="437">N509</f>
        <v>BFE, POM+C+E</v>
      </c>
      <c r="BD509" s="160" t="str">
        <f t="shared" ref="BD509:BD521" si="438">K509</f>
        <v>BFE, NEP+C+E</v>
      </c>
      <c r="BE509" s="160" t="str">
        <f t="shared" ref="BE509:BE521" si="439">O509</f>
        <v xml:space="preserve">BFE, POM+E    </v>
      </c>
      <c r="BF509" s="160" t="str">
        <f t="shared" ref="BF509:BF521" si="440">L509</f>
        <v xml:space="preserve">BFE, NEP+E    </v>
      </c>
      <c r="BG509" s="165" t="str">
        <f t="shared" ref="BG509:BG521" si="441">P509</f>
        <v>Greenpeace</v>
      </c>
      <c r="BH509" s="160" t="str">
        <f t="shared" ref="BH509:BH521" si="442">Q509</f>
        <v>SCS, WWB+C+E</v>
      </c>
      <c r="BI509" s="160" t="str">
        <f t="shared" ref="BI509:BI521" si="443">R509</f>
        <v xml:space="preserve">SCS, NEP+E    </v>
      </c>
      <c r="BJ509" s="160" t="str">
        <f t="shared" ref="BJ509:BJ521" si="444">S509</f>
        <v xml:space="preserve">SCS, Nucl         </v>
      </c>
      <c r="BK509" s="160" t="str">
        <f t="shared" ref="BK509:BK521" si="445">T509</f>
        <v>PSI-elc, WWB+Gas</v>
      </c>
      <c r="BL509" s="160" t="str">
        <f t="shared" ref="BL509:BL521" si="446">W509</f>
        <v>PSI-elc, POM+Gas</v>
      </c>
      <c r="BM509" s="160" t="str">
        <f t="shared" ref="BM509:BM521" si="447">Z509</f>
        <v>PSI-elc, NEP+Gas</v>
      </c>
      <c r="BN509" s="160" t="str">
        <f t="shared" ref="BN509:BN521" si="448">U509</f>
        <v>PSI-elc, WWB+Imp</v>
      </c>
      <c r="BO509" s="160" t="str">
        <f t="shared" ref="BO509:BO521" si="449">X509</f>
        <v>PSI-elc, POM+Imp</v>
      </c>
      <c r="BP509" s="160" t="str">
        <f t="shared" ref="BP509:BP521" si="450">AA509</f>
        <v>PSI-elc, NEP+Imp</v>
      </c>
      <c r="BQ509" s="160" t="str">
        <f t="shared" ref="BQ509:BQ521" si="451">V509</f>
        <v>PSI-elc, WWB+Nuc</v>
      </c>
      <c r="BR509" s="160" t="str">
        <f t="shared" ref="BR509:BR521" si="452">Y509</f>
        <v>PSI-elc, POM+Nuc</v>
      </c>
      <c r="BS509" s="160" t="str">
        <f t="shared" ref="BS509:BS521" si="453">AB509</f>
        <v>PSI-elc, NEP+Nuc</v>
      </c>
      <c r="BT509" s="160"/>
    </row>
    <row r="510" spans="2:72" x14ac:dyDescent="0.2">
      <c r="C510" t="s">
        <v>934</v>
      </c>
      <c r="E510" s="1"/>
      <c r="F510" s="1"/>
      <c r="G510" s="1"/>
      <c r="H510" s="4">
        <f>M2474+M2479</f>
        <v>17.472000000000001</v>
      </c>
      <c r="I510" s="4">
        <f>M2474+M2480</f>
        <v>18.564</v>
      </c>
      <c r="J510" s="19">
        <f>H510</f>
        <v>17.472000000000001</v>
      </c>
      <c r="K510" s="19">
        <f>I510</f>
        <v>18.564</v>
      </c>
      <c r="L510" s="19">
        <f>I510</f>
        <v>18.564</v>
      </c>
      <c r="M510" s="19">
        <f>H510</f>
        <v>17.472000000000001</v>
      </c>
      <c r="N510" s="19">
        <f>I510</f>
        <v>18.564</v>
      </c>
      <c r="O510" s="19">
        <f>I510</f>
        <v>18.564</v>
      </c>
      <c r="P510" s="4">
        <v>13</v>
      </c>
      <c r="Q510" s="4"/>
      <c r="R510" s="4"/>
      <c r="S510" s="4"/>
      <c r="AC510" s="1"/>
      <c r="AD510" s="1"/>
      <c r="AT510" t="str">
        <f t="shared" ref="AT510:AT521" si="454">C510</f>
        <v>Hydro</v>
      </c>
      <c r="AU510">
        <f t="shared" si="429"/>
        <v>0</v>
      </c>
      <c r="AV510">
        <f t="shared" si="430"/>
        <v>0</v>
      </c>
      <c r="AW510">
        <f t="shared" si="431"/>
        <v>0</v>
      </c>
      <c r="AX510">
        <f t="shared" si="432"/>
        <v>0</v>
      </c>
      <c r="AY510">
        <f t="shared" si="433"/>
        <v>17.472000000000001</v>
      </c>
      <c r="AZ510">
        <f t="shared" si="434"/>
        <v>17.472000000000001</v>
      </c>
      <c r="BA510">
        <f t="shared" si="435"/>
        <v>17.472000000000001</v>
      </c>
      <c r="BB510">
        <f t="shared" si="436"/>
        <v>18.564</v>
      </c>
      <c r="BC510">
        <f t="shared" si="437"/>
        <v>18.564</v>
      </c>
      <c r="BD510">
        <f t="shared" si="438"/>
        <v>18.564</v>
      </c>
      <c r="BE510">
        <f t="shared" si="439"/>
        <v>18.564</v>
      </c>
      <c r="BF510">
        <f t="shared" si="440"/>
        <v>18.564</v>
      </c>
      <c r="BG510">
        <f t="shared" si="441"/>
        <v>13</v>
      </c>
      <c r="BH510">
        <f t="shared" si="442"/>
        <v>0</v>
      </c>
      <c r="BI510">
        <f t="shared" si="443"/>
        <v>0</v>
      </c>
      <c r="BJ510">
        <f t="shared" si="444"/>
        <v>0</v>
      </c>
      <c r="BK510">
        <f t="shared" si="445"/>
        <v>0</v>
      </c>
      <c r="BL510">
        <f t="shared" si="446"/>
        <v>0</v>
      </c>
      <c r="BM510">
        <f t="shared" si="447"/>
        <v>0</v>
      </c>
      <c r="BN510">
        <f t="shared" si="448"/>
        <v>0</v>
      </c>
      <c r="BO510">
        <f t="shared" si="449"/>
        <v>0</v>
      </c>
      <c r="BP510">
        <f t="shared" si="450"/>
        <v>0</v>
      </c>
      <c r="BQ510">
        <f t="shared" si="451"/>
        <v>0</v>
      </c>
      <c r="BR510">
        <f t="shared" si="452"/>
        <v>0</v>
      </c>
      <c r="BS510">
        <f t="shared" si="453"/>
        <v>0</v>
      </c>
    </row>
    <row r="511" spans="2:72" x14ac:dyDescent="0.2">
      <c r="C511" t="s">
        <v>961</v>
      </c>
      <c r="D511" s="25">
        <f>O53</f>
        <v>3.7679999999999998</v>
      </c>
      <c r="E511" s="4">
        <v>4</v>
      </c>
      <c r="F511" s="4">
        <v>4</v>
      </c>
      <c r="G511" s="4">
        <v>4</v>
      </c>
      <c r="H511" s="4"/>
      <c r="I511" s="4"/>
      <c r="J511" s="4"/>
      <c r="K511" s="4"/>
      <c r="L511" s="4"/>
      <c r="M511" s="4"/>
      <c r="N511" s="4"/>
      <c r="O511" s="4"/>
      <c r="P511" s="4"/>
      <c r="Q511" s="4">
        <v>3.7</v>
      </c>
      <c r="R511" s="4">
        <v>3.7</v>
      </c>
      <c r="S511" s="4">
        <v>3.7</v>
      </c>
      <c r="T511" s="4">
        <v>3.9</v>
      </c>
      <c r="U511" s="4">
        <v>3.9</v>
      </c>
      <c r="V511" s="4">
        <v>3.9</v>
      </c>
      <c r="W511" s="4">
        <v>3.9</v>
      </c>
      <c r="X511" s="4">
        <v>3.9</v>
      </c>
      <c r="Y511" s="4">
        <v>3.9</v>
      </c>
      <c r="Z511" s="4">
        <v>3.9</v>
      </c>
      <c r="AA511" s="4">
        <v>3.9</v>
      </c>
      <c r="AB511" s="4">
        <v>3.9</v>
      </c>
      <c r="AC511" s="1"/>
      <c r="AD511" s="1"/>
      <c r="AT511" t="str">
        <f t="shared" si="454"/>
        <v>Hydro river</v>
      </c>
      <c r="AU511">
        <f t="shared" si="429"/>
        <v>3.7679999999999998</v>
      </c>
      <c r="AV511">
        <f t="shared" si="430"/>
        <v>4</v>
      </c>
      <c r="AW511">
        <f t="shared" si="431"/>
        <v>4</v>
      </c>
      <c r="AX511">
        <f t="shared" si="432"/>
        <v>4</v>
      </c>
      <c r="AY511">
        <f t="shared" si="433"/>
        <v>0</v>
      </c>
      <c r="AZ511">
        <f t="shared" si="434"/>
        <v>0</v>
      </c>
      <c r="BA511">
        <f t="shared" si="435"/>
        <v>0</v>
      </c>
      <c r="BB511">
        <f t="shared" si="436"/>
        <v>0</v>
      </c>
      <c r="BC511">
        <f t="shared" si="437"/>
        <v>0</v>
      </c>
      <c r="BD511">
        <f t="shared" si="438"/>
        <v>0</v>
      </c>
      <c r="BE511">
        <f t="shared" si="439"/>
        <v>0</v>
      </c>
      <c r="BF511">
        <f t="shared" si="440"/>
        <v>0</v>
      </c>
      <c r="BG511">
        <f t="shared" si="441"/>
        <v>0</v>
      </c>
      <c r="BH511">
        <f t="shared" si="442"/>
        <v>3.7</v>
      </c>
      <c r="BI511">
        <f t="shared" si="443"/>
        <v>3.7</v>
      </c>
      <c r="BJ511">
        <f t="shared" si="444"/>
        <v>3.7</v>
      </c>
      <c r="BK511">
        <f t="shared" si="445"/>
        <v>3.9</v>
      </c>
      <c r="BL511">
        <f t="shared" si="446"/>
        <v>3.9</v>
      </c>
      <c r="BM511">
        <f t="shared" si="447"/>
        <v>3.9</v>
      </c>
      <c r="BN511">
        <f t="shared" si="448"/>
        <v>3.9</v>
      </c>
      <c r="BO511">
        <f t="shared" si="449"/>
        <v>3.9</v>
      </c>
      <c r="BP511">
        <f t="shared" si="450"/>
        <v>3.9</v>
      </c>
      <c r="BQ511">
        <f t="shared" si="451"/>
        <v>3.9</v>
      </c>
      <c r="BR511">
        <f t="shared" si="452"/>
        <v>3.9</v>
      </c>
      <c r="BS511">
        <f t="shared" si="453"/>
        <v>3.9</v>
      </c>
    </row>
    <row r="512" spans="2:72" x14ac:dyDescent="0.2">
      <c r="C512" t="s">
        <v>936</v>
      </c>
      <c r="D512">
        <f>O54+O55+O56+O57</f>
        <v>10.671999999999999</v>
      </c>
      <c r="E512" s="4">
        <f>8.6+4</f>
        <v>12.6</v>
      </c>
      <c r="F512" s="4">
        <f>8.9+4</f>
        <v>12.9</v>
      </c>
      <c r="G512" s="4">
        <f>9.1+4</f>
        <v>13.1</v>
      </c>
      <c r="H512" s="4"/>
      <c r="I512" s="4"/>
      <c r="J512" s="4"/>
      <c r="K512" s="4"/>
      <c r="L512" s="4"/>
      <c r="M512" s="4"/>
      <c r="N512" s="4"/>
      <c r="O512" s="4"/>
      <c r="P512" s="4"/>
      <c r="Q512" s="4">
        <f>8.5+5</f>
        <v>13.5</v>
      </c>
      <c r="R512" s="4">
        <f>8.5+5</f>
        <v>13.5</v>
      </c>
      <c r="S512" s="4">
        <f>8.5+5</f>
        <v>13.5</v>
      </c>
      <c r="T512" s="4">
        <f>8.5+2</f>
        <v>10.5</v>
      </c>
      <c r="U512" s="4">
        <f>8.5+1.5</f>
        <v>10</v>
      </c>
      <c r="V512" s="4">
        <f>8.5+2.8</f>
        <v>11.3</v>
      </c>
      <c r="W512" s="4">
        <f>8.5+2.1</f>
        <v>10.6</v>
      </c>
      <c r="X512" s="4">
        <f>8.5+1.5</f>
        <v>10</v>
      </c>
      <c r="Y512" s="4">
        <f>8.5+3.3</f>
        <v>11.8</v>
      </c>
      <c r="Z512" s="4">
        <f>8.5+1.7</f>
        <v>10.199999999999999</v>
      </c>
      <c r="AA512" s="4">
        <f>8.5+1.5</f>
        <v>10</v>
      </c>
      <c r="AB512" s="4">
        <f>8.5+3.5</f>
        <v>12</v>
      </c>
      <c r="AC512" s="1"/>
      <c r="AD512" s="1"/>
      <c r="AT512" t="str">
        <f t="shared" si="454"/>
        <v>Hydro storage</v>
      </c>
      <c r="AU512">
        <f t="shared" si="429"/>
        <v>10.671999999999999</v>
      </c>
      <c r="AV512">
        <f t="shared" si="430"/>
        <v>12.6</v>
      </c>
      <c r="AW512">
        <f t="shared" si="431"/>
        <v>12.9</v>
      </c>
      <c r="AX512">
        <f t="shared" si="432"/>
        <v>13.1</v>
      </c>
      <c r="AY512">
        <f t="shared" si="433"/>
        <v>0</v>
      </c>
      <c r="AZ512">
        <f t="shared" si="434"/>
        <v>0</v>
      </c>
      <c r="BA512">
        <f t="shared" si="435"/>
        <v>0</v>
      </c>
      <c r="BB512">
        <f t="shared" si="436"/>
        <v>0</v>
      </c>
      <c r="BC512">
        <f t="shared" si="437"/>
        <v>0</v>
      </c>
      <c r="BD512">
        <f t="shared" si="438"/>
        <v>0</v>
      </c>
      <c r="BE512">
        <f t="shared" si="439"/>
        <v>0</v>
      </c>
      <c r="BF512">
        <f t="shared" si="440"/>
        <v>0</v>
      </c>
      <c r="BG512">
        <f t="shared" si="441"/>
        <v>0</v>
      </c>
      <c r="BH512">
        <f t="shared" si="442"/>
        <v>13.5</v>
      </c>
      <c r="BI512">
        <f t="shared" si="443"/>
        <v>13.5</v>
      </c>
      <c r="BJ512">
        <f t="shared" si="444"/>
        <v>13.5</v>
      </c>
      <c r="BK512">
        <f t="shared" si="445"/>
        <v>10.5</v>
      </c>
      <c r="BL512">
        <f t="shared" si="446"/>
        <v>10.6</v>
      </c>
      <c r="BM512">
        <f t="shared" si="447"/>
        <v>10.199999999999999</v>
      </c>
      <c r="BN512">
        <f t="shared" si="448"/>
        <v>10</v>
      </c>
      <c r="BO512">
        <f t="shared" si="449"/>
        <v>10</v>
      </c>
      <c r="BP512">
        <f t="shared" si="450"/>
        <v>10</v>
      </c>
      <c r="BQ512">
        <f t="shared" si="451"/>
        <v>11.3</v>
      </c>
      <c r="BR512">
        <f t="shared" si="452"/>
        <v>11.8</v>
      </c>
      <c r="BS512">
        <f t="shared" si="453"/>
        <v>12</v>
      </c>
    </row>
    <row r="513" spans="2:71" x14ac:dyDescent="0.2">
      <c r="C513" t="s">
        <v>935</v>
      </c>
      <c r="D513">
        <f>2*0.365+0.373+0.985+1.19</f>
        <v>3.278</v>
      </c>
      <c r="E513" s="4">
        <v>0</v>
      </c>
      <c r="F513" s="4">
        <v>0</v>
      </c>
      <c r="G513" s="4">
        <v>0</v>
      </c>
      <c r="H513" s="4">
        <f>M2473</f>
        <v>0</v>
      </c>
      <c r="I513" s="19">
        <f>H513</f>
        <v>0</v>
      </c>
      <c r="J513" s="19">
        <f t="shared" ref="J513:O513" si="455">I513</f>
        <v>0</v>
      </c>
      <c r="K513" s="19">
        <f t="shared" si="455"/>
        <v>0</v>
      </c>
      <c r="L513" s="19">
        <f t="shared" si="455"/>
        <v>0</v>
      </c>
      <c r="M513" s="19">
        <f t="shared" si="455"/>
        <v>0</v>
      </c>
      <c r="N513" s="19">
        <f t="shared" si="455"/>
        <v>0</v>
      </c>
      <c r="O513" s="19">
        <f t="shared" si="455"/>
        <v>0</v>
      </c>
      <c r="P513" s="4">
        <v>0</v>
      </c>
      <c r="Q513" s="4">
        <v>0</v>
      </c>
      <c r="R513" s="4">
        <v>0</v>
      </c>
      <c r="S513" s="4">
        <v>3.4</v>
      </c>
      <c r="T513" s="4">
        <v>0</v>
      </c>
      <c r="U513" s="4">
        <v>0</v>
      </c>
      <c r="V513" s="4">
        <v>3.6</v>
      </c>
      <c r="W513" s="4">
        <v>0</v>
      </c>
      <c r="X513" s="4">
        <v>0</v>
      </c>
      <c r="Y513" s="4">
        <v>3.6</v>
      </c>
      <c r="Z513" s="4">
        <v>0</v>
      </c>
      <c r="AA513" s="4">
        <v>0</v>
      </c>
      <c r="AB513" s="4">
        <v>3</v>
      </c>
      <c r="AC513" s="1"/>
      <c r="AD513" s="1"/>
      <c r="AT513" t="str">
        <f t="shared" si="454"/>
        <v>Nuclear</v>
      </c>
      <c r="AU513">
        <f t="shared" si="429"/>
        <v>3.278</v>
      </c>
      <c r="AV513">
        <f t="shared" si="430"/>
        <v>0</v>
      </c>
      <c r="AW513">
        <f t="shared" si="431"/>
        <v>0</v>
      </c>
      <c r="AX513">
        <f t="shared" si="432"/>
        <v>0</v>
      </c>
      <c r="AY513">
        <f t="shared" si="433"/>
        <v>0</v>
      </c>
      <c r="AZ513">
        <f t="shared" si="434"/>
        <v>0</v>
      </c>
      <c r="BA513">
        <f t="shared" si="435"/>
        <v>0</v>
      </c>
      <c r="BB513">
        <f t="shared" si="436"/>
        <v>0</v>
      </c>
      <c r="BC513">
        <f t="shared" si="437"/>
        <v>0</v>
      </c>
      <c r="BD513">
        <f t="shared" si="438"/>
        <v>0</v>
      </c>
      <c r="BE513">
        <f t="shared" si="439"/>
        <v>0</v>
      </c>
      <c r="BF513">
        <f t="shared" si="440"/>
        <v>0</v>
      </c>
      <c r="BG513">
        <f t="shared" si="441"/>
        <v>0</v>
      </c>
      <c r="BH513">
        <f t="shared" si="442"/>
        <v>0</v>
      </c>
      <c r="BI513">
        <f t="shared" si="443"/>
        <v>0</v>
      </c>
      <c r="BJ513">
        <f t="shared" si="444"/>
        <v>3.4</v>
      </c>
      <c r="BK513">
        <f t="shared" si="445"/>
        <v>0</v>
      </c>
      <c r="BL513">
        <f t="shared" si="446"/>
        <v>0</v>
      </c>
      <c r="BM513">
        <f t="shared" si="447"/>
        <v>0</v>
      </c>
      <c r="BN513">
        <f t="shared" si="448"/>
        <v>0</v>
      </c>
      <c r="BO513">
        <f t="shared" si="449"/>
        <v>0</v>
      </c>
      <c r="BP513">
        <f t="shared" si="450"/>
        <v>0</v>
      </c>
      <c r="BQ513">
        <f t="shared" si="451"/>
        <v>3.6</v>
      </c>
      <c r="BR513">
        <f t="shared" si="452"/>
        <v>3.6</v>
      </c>
      <c r="BS513">
        <f t="shared" si="453"/>
        <v>3</v>
      </c>
    </row>
    <row r="514" spans="2:71" x14ac:dyDescent="0.2">
      <c r="C514" t="s">
        <v>7</v>
      </c>
      <c r="D514" s="25">
        <v>0.111</v>
      </c>
      <c r="E514" s="4">
        <v>3.7</v>
      </c>
      <c r="F514" s="4">
        <v>8.9</v>
      </c>
      <c r="G514" s="4">
        <v>14.9</v>
      </c>
      <c r="H514" s="4"/>
      <c r="I514" s="4"/>
      <c r="J514" s="4"/>
      <c r="K514" s="4"/>
      <c r="L514" s="4"/>
      <c r="M514" s="4"/>
      <c r="N514" s="4"/>
      <c r="O514" s="4"/>
      <c r="P514" s="4">
        <v>19</v>
      </c>
      <c r="Q514" s="4">
        <v>11.16</v>
      </c>
      <c r="R514" s="4">
        <v>11.16</v>
      </c>
      <c r="S514" s="4">
        <v>0</v>
      </c>
      <c r="T514" s="4">
        <v>7.4</v>
      </c>
      <c r="U514" s="4">
        <v>9.6</v>
      </c>
      <c r="V514" s="4">
        <v>2.9</v>
      </c>
      <c r="W514" s="4">
        <v>5.5</v>
      </c>
      <c r="X514" s="4">
        <v>9.6</v>
      </c>
      <c r="Y514" s="4">
        <v>0</v>
      </c>
      <c r="Z514" s="4">
        <v>9.6</v>
      </c>
      <c r="AA514" s="4">
        <v>9.6</v>
      </c>
      <c r="AB514" s="4">
        <v>0</v>
      </c>
      <c r="AC514" s="1"/>
      <c r="AD514" s="1"/>
      <c r="AT514" t="str">
        <f t="shared" si="454"/>
        <v>PV</v>
      </c>
      <c r="AU514">
        <f t="shared" si="429"/>
        <v>0.111</v>
      </c>
      <c r="AV514">
        <f t="shared" si="430"/>
        <v>3.7</v>
      </c>
      <c r="AW514">
        <f t="shared" si="431"/>
        <v>8.9</v>
      </c>
      <c r="AX514">
        <f t="shared" si="432"/>
        <v>14.9</v>
      </c>
      <c r="AY514">
        <f t="shared" si="433"/>
        <v>0</v>
      </c>
      <c r="AZ514">
        <f t="shared" si="434"/>
        <v>0</v>
      </c>
      <c r="BA514">
        <f t="shared" si="435"/>
        <v>0</v>
      </c>
      <c r="BB514">
        <f t="shared" si="436"/>
        <v>0</v>
      </c>
      <c r="BC514">
        <f t="shared" si="437"/>
        <v>0</v>
      </c>
      <c r="BD514">
        <f t="shared" si="438"/>
        <v>0</v>
      </c>
      <c r="BE514">
        <f t="shared" si="439"/>
        <v>0</v>
      </c>
      <c r="BF514">
        <f t="shared" si="440"/>
        <v>0</v>
      </c>
      <c r="BG514">
        <f t="shared" si="441"/>
        <v>19</v>
      </c>
      <c r="BH514">
        <f t="shared" si="442"/>
        <v>11.16</v>
      </c>
      <c r="BI514">
        <f t="shared" si="443"/>
        <v>11.16</v>
      </c>
      <c r="BJ514">
        <f t="shared" si="444"/>
        <v>0</v>
      </c>
      <c r="BK514">
        <f t="shared" si="445"/>
        <v>7.4</v>
      </c>
      <c r="BL514">
        <f t="shared" si="446"/>
        <v>5.5</v>
      </c>
      <c r="BM514">
        <f t="shared" si="447"/>
        <v>9.6</v>
      </c>
      <c r="BN514">
        <f t="shared" si="448"/>
        <v>9.6</v>
      </c>
      <c r="BO514">
        <f t="shared" si="449"/>
        <v>9.6</v>
      </c>
      <c r="BP514">
        <f t="shared" si="450"/>
        <v>9.6</v>
      </c>
      <c r="BQ514">
        <f t="shared" si="451"/>
        <v>2.9</v>
      </c>
      <c r="BR514">
        <f t="shared" si="452"/>
        <v>0</v>
      </c>
      <c r="BS514">
        <f t="shared" si="453"/>
        <v>0</v>
      </c>
    </row>
    <row r="515" spans="2:71" x14ac:dyDescent="0.2">
      <c r="C515" t="s">
        <v>8</v>
      </c>
      <c r="D515" s="25">
        <v>4.2000000000000003E-2</v>
      </c>
      <c r="E515" s="4">
        <v>1.2</v>
      </c>
      <c r="F515" s="4">
        <v>1.9</v>
      </c>
      <c r="G515" s="4">
        <v>2.5</v>
      </c>
      <c r="H515" s="4"/>
      <c r="I515" s="4"/>
      <c r="J515" s="4"/>
      <c r="K515" s="4"/>
      <c r="L515" s="4"/>
      <c r="M515" s="4"/>
      <c r="N515" s="4"/>
      <c r="O515" s="4"/>
      <c r="P515" s="4">
        <v>2.2999999999999998</v>
      </c>
      <c r="Q515" s="4">
        <v>2.85</v>
      </c>
      <c r="R515" s="4">
        <v>2.85</v>
      </c>
      <c r="S515" s="4">
        <v>0</v>
      </c>
      <c r="T515" s="4">
        <v>2</v>
      </c>
      <c r="U515" s="4">
        <v>2</v>
      </c>
      <c r="V515" s="4">
        <v>0.2</v>
      </c>
      <c r="W515" s="4">
        <v>1</v>
      </c>
      <c r="X515" s="4">
        <v>2</v>
      </c>
      <c r="Y515" s="4">
        <v>0</v>
      </c>
      <c r="Z515" s="4">
        <v>2</v>
      </c>
      <c r="AA515" s="4">
        <v>2</v>
      </c>
      <c r="AB515" s="4">
        <v>0</v>
      </c>
      <c r="AC515" s="1"/>
      <c r="AD515" s="1"/>
      <c r="AT515" t="str">
        <f t="shared" si="454"/>
        <v>Wind</v>
      </c>
      <c r="AU515">
        <f t="shared" si="429"/>
        <v>4.2000000000000003E-2</v>
      </c>
      <c r="AV515">
        <f t="shared" si="430"/>
        <v>1.2</v>
      </c>
      <c r="AW515">
        <f t="shared" si="431"/>
        <v>1.9</v>
      </c>
      <c r="AX515">
        <f t="shared" si="432"/>
        <v>2.5</v>
      </c>
      <c r="AY515">
        <f t="shared" si="433"/>
        <v>0</v>
      </c>
      <c r="AZ515">
        <f t="shared" si="434"/>
        <v>0</v>
      </c>
      <c r="BA515">
        <f t="shared" si="435"/>
        <v>0</v>
      </c>
      <c r="BB515">
        <f t="shared" si="436"/>
        <v>0</v>
      </c>
      <c r="BC515">
        <f t="shared" si="437"/>
        <v>0</v>
      </c>
      <c r="BD515">
        <f t="shared" si="438"/>
        <v>0</v>
      </c>
      <c r="BE515">
        <f t="shared" si="439"/>
        <v>0</v>
      </c>
      <c r="BF515">
        <f t="shared" si="440"/>
        <v>0</v>
      </c>
      <c r="BG515">
        <f t="shared" si="441"/>
        <v>2.2999999999999998</v>
      </c>
      <c r="BH515">
        <f t="shared" si="442"/>
        <v>2.85</v>
      </c>
      <c r="BI515">
        <f t="shared" si="443"/>
        <v>2.85</v>
      </c>
      <c r="BJ515">
        <f t="shared" si="444"/>
        <v>0</v>
      </c>
      <c r="BK515">
        <f t="shared" si="445"/>
        <v>2</v>
      </c>
      <c r="BL515">
        <f t="shared" si="446"/>
        <v>1</v>
      </c>
      <c r="BM515">
        <f t="shared" si="447"/>
        <v>2</v>
      </c>
      <c r="BN515">
        <f t="shared" si="448"/>
        <v>2</v>
      </c>
      <c r="BO515">
        <f t="shared" si="449"/>
        <v>2</v>
      </c>
      <c r="BP515">
        <f t="shared" si="450"/>
        <v>2</v>
      </c>
      <c r="BQ515">
        <f t="shared" si="451"/>
        <v>0.2</v>
      </c>
      <c r="BR515">
        <f t="shared" si="452"/>
        <v>0</v>
      </c>
      <c r="BS515">
        <f t="shared" si="453"/>
        <v>0</v>
      </c>
    </row>
    <row r="516" spans="2:71" x14ac:dyDescent="0.2">
      <c r="C516" t="s">
        <v>937</v>
      </c>
      <c r="E516" s="4">
        <v>0.8</v>
      </c>
      <c r="F516" s="4">
        <v>1.1000000000000001</v>
      </c>
      <c r="G516" s="4">
        <v>1.3</v>
      </c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1"/>
      <c r="U516" s="1"/>
      <c r="V516" s="1"/>
      <c r="W516" s="1"/>
      <c r="X516" s="1"/>
      <c r="Y516" s="1"/>
      <c r="Z516" s="1"/>
      <c r="AA516" s="1"/>
      <c r="AB516" s="1"/>
      <c r="AT516" t="str">
        <f t="shared" si="454"/>
        <v>Biomass+Geo</v>
      </c>
      <c r="AU516">
        <f t="shared" si="429"/>
        <v>0</v>
      </c>
      <c r="AV516">
        <f t="shared" si="430"/>
        <v>0.8</v>
      </c>
      <c r="AW516">
        <f t="shared" si="431"/>
        <v>1.1000000000000001</v>
      </c>
      <c r="AX516">
        <f t="shared" si="432"/>
        <v>1.3</v>
      </c>
      <c r="AY516">
        <f t="shared" si="433"/>
        <v>0</v>
      </c>
      <c r="AZ516">
        <f t="shared" si="434"/>
        <v>0</v>
      </c>
      <c r="BA516">
        <f t="shared" si="435"/>
        <v>0</v>
      </c>
      <c r="BB516">
        <f t="shared" si="436"/>
        <v>0</v>
      </c>
      <c r="BC516">
        <f t="shared" si="437"/>
        <v>0</v>
      </c>
      <c r="BD516">
        <f t="shared" si="438"/>
        <v>0</v>
      </c>
      <c r="BE516">
        <f t="shared" si="439"/>
        <v>0</v>
      </c>
      <c r="BF516">
        <f t="shared" si="440"/>
        <v>0</v>
      </c>
      <c r="BG516">
        <f t="shared" si="441"/>
        <v>0</v>
      </c>
      <c r="BH516">
        <f t="shared" si="442"/>
        <v>0</v>
      </c>
      <c r="BI516">
        <f t="shared" si="443"/>
        <v>0</v>
      </c>
      <c r="BJ516">
        <f t="shared" si="444"/>
        <v>0</v>
      </c>
      <c r="BK516">
        <f t="shared" si="445"/>
        <v>0</v>
      </c>
      <c r="BL516">
        <f t="shared" si="446"/>
        <v>0</v>
      </c>
      <c r="BM516">
        <f t="shared" si="447"/>
        <v>0</v>
      </c>
      <c r="BN516">
        <f t="shared" si="448"/>
        <v>0</v>
      </c>
      <c r="BO516">
        <f t="shared" si="449"/>
        <v>0</v>
      </c>
      <c r="BP516">
        <f t="shared" si="450"/>
        <v>0</v>
      </c>
      <c r="BQ516">
        <f t="shared" si="451"/>
        <v>0</v>
      </c>
      <c r="BR516">
        <f t="shared" si="452"/>
        <v>0</v>
      </c>
      <c r="BS516">
        <f t="shared" si="453"/>
        <v>0</v>
      </c>
    </row>
    <row r="517" spans="2:71" x14ac:dyDescent="0.2">
      <c r="C517" t="s">
        <v>960</v>
      </c>
      <c r="D517">
        <v>0</v>
      </c>
      <c r="E517" s="1"/>
      <c r="F517" s="1"/>
      <c r="G517" s="1"/>
      <c r="H517" s="4"/>
      <c r="I517" s="4"/>
      <c r="J517" s="4"/>
      <c r="K517" s="4"/>
      <c r="L517" s="4"/>
      <c r="M517" s="4"/>
      <c r="N517" s="4"/>
      <c r="O517" s="4"/>
      <c r="P517" s="4">
        <v>0.3</v>
      </c>
      <c r="Q517" s="4">
        <v>0.3</v>
      </c>
      <c r="R517" s="4">
        <v>0.48</v>
      </c>
      <c r="S517" s="4">
        <v>0</v>
      </c>
      <c r="T517" s="4">
        <v>0</v>
      </c>
      <c r="U517" s="4">
        <f>1.2+0.6</f>
        <v>1.7999999999999998</v>
      </c>
      <c r="V517" s="4">
        <v>1.2</v>
      </c>
      <c r="W517" s="4">
        <v>1.2</v>
      </c>
      <c r="X517" s="4">
        <f>1.2+0.8</f>
        <v>2</v>
      </c>
      <c r="Y517" s="4">
        <v>1.2</v>
      </c>
      <c r="Z517" s="4">
        <v>1.2</v>
      </c>
      <c r="AA517" s="4">
        <f>1.2+0.2</f>
        <v>1.4</v>
      </c>
      <c r="AB517" s="4">
        <v>1.1000000000000001</v>
      </c>
      <c r="AC517" s="1"/>
      <c r="AD517" s="1"/>
      <c r="AT517" t="str">
        <f t="shared" si="454"/>
        <v>Geo</v>
      </c>
      <c r="AU517">
        <f t="shared" si="429"/>
        <v>0</v>
      </c>
      <c r="AV517">
        <f t="shared" si="430"/>
        <v>0</v>
      </c>
      <c r="AW517">
        <f t="shared" si="431"/>
        <v>0</v>
      </c>
      <c r="AX517">
        <f t="shared" si="432"/>
        <v>0</v>
      </c>
      <c r="AY517">
        <f t="shared" si="433"/>
        <v>0</v>
      </c>
      <c r="AZ517">
        <f t="shared" si="434"/>
        <v>0</v>
      </c>
      <c r="BA517">
        <f t="shared" si="435"/>
        <v>0</v>
      </c>
      <c r="BB517">
        <f t="shared" si="436"/>
        <v>0</v>
      </c>
      <c r="BC517">
        <f t="shared" si="437"/>
        <v>0</v>
      </c>
      <c r="BD517">
        <f t="shared" si="438"/>
        <v>0</v>
      </c>
      <c r="BE517">
        <f t="shared" si="439"/>
        <v>0</v>
      </c>
      <c r="BF517">
        <f t="shared" si="440"/>
        <v>0</v>
      </c>
      <c r="BG517">
        <f t="shared" si="441"/>
        <v>0.3</v>
      </c>
      <c r="BH517">
        <f t="shared" si="442"/>
        <v>0.3</v>
      </c>
      <c r="BI517">
        <f t="shared" si="443"/>
        <v>0.48</v>
      </c>
      <c r="BJ517">
        <f t="shared" si="444"/>
        <v>0</v>
      </c>
      <c r="BK517">
        <f t="shared" si="445"/>
        <v>0</v>
      </c>
      <c r="BL517">
        <f t="shared" si="446"/>
        <v>1.2</v>
      </c>
      <c r="BM517">
        <f t="shared" si="447"/>
        <v>1.2</v>
      </c>
      <c r="BN517">
        <f t="shared" si="448"/>
        <v>1.7999999999999998</v>
      </c>
      <c r="BO517">
        <f t="shared" si="449"/>
        <v>2</v>
      </c>
      <c r="BP517">
        <f t="shared" si="450"/>
        <v>1.4</v>
      </c>
      <c r="BQ517">
        <f t="shared" si="451"/>
        <v>1.2</v>
      </c>
      <c r="BR517">
        <f t="shared" si="452"/>
        <v>1.2</v>
      </c>
      <c r="BS517">
        <f t="shared" si="453"/>
        <v>1.1000000000000001</v>
      </c>
    </row>
    <row r="518" spans="2:71" x14ac:dyDescent="0.2">
      <c r="C518" t="s">
        <v>984</v>
      </c>
      <c r="D518">
        <f>0.5*(0.274+0.083)+0.001</f>
        <v>0.17950000000000002</v>
      </c>
      <c r="E518" s="1"/>
      <c r="F518" s="1"/>
      <c r="G518" s="1"/>
      <c r="H518" s="4"/>
      <c r="I518" s="4"/>
      <c r="J518" s="4"/>
      <c r="K518" s="4"/>
      <c r="L518" s="4"/>
      <c r="M518" s="4"/>
      <c r="N518" s="4"/>
      <c r="O518" s="4"/>
      <c r="P518" s="4">
        <v>0.2</v>
      </c>
      <c r="Q518" s="4">
        <v>0.5</v>
      </c>
      <c r="R518" s="4">
        <v>0.5</v>
      </c>
      <c r="S518" s="4">
        <v>0</v>
      </c>
      <c r="T518" s="4">
        <v>1.2</v>
      </c>
      <c r="U518" s="4">
        <v>0.6</v>
      </c>
      <c r="V518" s="4">
        <v>0</v>
      </c>
      <c r="W518" s="4">
        <v>0</v>
      </c>
      <c r="X518" s="4">
        <v>0.6</v>
      </c>
      <c r="Y518" s="4">
        <v>0</v>
      </c>
      <c r="Z518" s="4">
        <v>0.5</v>
      </c>
      <c r="AA518" s="4">
        <v>0.6</v>
      </c>
      <c r="AB518" s="4">
        <v>0</v>
      </c>
      <c r="AC518" s="1"/>
      <c r="AD518" s="1"/>
      <c r="AT518" t="str">
        <f t="shared" si="454"/>
        <v>Biomass</v>
      </c>
      <c r="AU518">
        <f t="shared" si="429"/>
        <v>0.17950000000000002</v>
      </c>
      <c r="AV518">
        <f t="shared" si="430"/>
        <v>0</v>
      </c>
      <c r="AW518">
        <f t="shared" si="431"/>
        <v>0</v>
      </c>
      <c r="AX518">
        <f t="shared" si="432"/>
        <v>0</v>
      </c>
      <c r="AY518">
        <f t="shared" si="433"/>
        <v>0</v>
      </c>
      <c r="AZ518">
        <f t="shared" si="434"/>
        <v>0</v>
      </c>
      <c r="BA518">
        <f t="shared" si="435"/>
        <v>0</v>
      </c>
      <c r="BB518">
        <f t="shared" si="436"/>
        <v>0</v>
      </c>
      <c r="BC518">
        <f t="shared" si="437"/>
        <v>0</v>
      </c>
      <c r="BD518">
        <f t="shared" si="438"/>
        <v>0</v>
      </c>
      <c r="BE518">
        <f t="shared" si="439"/>
        <v>0</v>
      </c>
      <c r="BF518">
        <f t="shared" si="440"/>
        <v>0</v>
      </c>
      <c r="BG518">
        <f t="shared" si="441"/>
        <v>0.2</v>
      </c>
      <c r="BH518">
        <f t="shared" si="442"/>
        <v>0.5</v>
      </c>
      <c r="BI518">
        <f t="shared" si="443"/>
        <v>0.5</v>
      </c>
      <c r="BJ518">
        <f t="shared" si="444"/>
        <v>0</v>
      </c>
      <c r="BK518">
        <f t="shared" si="445"/>
        <v>1.2</v>
      </c>
      <c r="BL518">
        <f t="shared" si="446"/>
        <v>0</v>
      </c>
      <c r="BM518">
        <f t="shared" si="447"/>
        <v>0.5</v>
      </c>
      <c r="BN518">
        <f t="shared" si="448"/>
        <v>0.6</v>
      </c>
      <c r="BO518">
        <f t="shared" si="449"/>
        <v>0.6</v>
      </c>
      <c r="BP518">
        <f t="shared" si="450"/>
        <v>0.6</v>
      </c>
      <c r="BQ518">
        <f t="shared" si="451"/>
        <v>0</v>
      </c>
      <c r="BR518">
        <f t="shared" si="452"/>
        <v>0</v>
      </c>
      <c r="BS518">
        <f t="shared" si="453"/>
        <v>0</v>
      </c>
    </row>
    <row r="519" spans="2:71" x14ac:dyDescent="0.2">
      <c r="C519" t="s">
        <v>1297</v>
      </c>
      <c r="E519" s="1"/>
      <c r="F519" s="1"/>
      <c r="G519" s="1"/>
      <c r="H519" s="4">
        <f>M2477+M2481</f>
        <v>6.0060000000000002</v>
      </c>
      <c r="I519" s="4">
        <f>M2477+M2482</f>
        <v>12.558000000000002</v>
      </c>
      <c r="J519" s="19">
        <f>H519</f>
        <v>6.0060000000000002</v>
      </c>
      <c r="K519" s="19">
        <f>I519</f>
        <v>12.558000000000002</v>
      </c>
      <c r="L519" s="19">
        <f>I519</f>
        <v>12.558000000000002</v>
      </c>
      <c r="M519" s="19">
        <f>H519</f>
        <v>6.0060000000000002</v>
      </c>
      <c r="N519" s="19">
        <f>I519</f>
        <v>12.558000000000002</v>
      </c>
      <c r="O519" s="19">
        <f>I519</f>
        <v>12.558000000000002</v>
      </c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T519" t="str">
        <f t="shared" si="454"/>
        <v>PV+Wind+Bio+Geo</v>
      </c>
      <c r="AU519">
        <f t="shared" si="429"/>
        <v>0</v>
      </c>
      <c r="AV519">
        <f t="shared" si="430"/>
        <v>0</v>
      </c>
      <c r="AW519">
        <f t="shared" si="431"/>
        <v>0</v>
      </c>
      <c r="AX519">
        <f t="shared" si="432"/>
        <v>0</v>
      </c>
      <c r="AY519">
        <f t="shared" si="433"/>
        <v>6.0060000000000002</v>
      </c>
      <c r="AZ519">
        <f t="shared" si="434"/>
        <v>6.0060000000000002</v>
      </c>
      <c r="BA519">
        <f t="shared" si="435"/>
        <v>6.0060000000000002</v>
      </c>
      <c r="BB519">
        <f t="shared" si="436"/>
        <v>12.558000000000002</v>
      </c>
      <c r="BC519">
        <f t="shared" si="437"/>
        <v>12.558000000000002</v>
      </c>
      <c r="BD519">
        <f t="shared" si="438"/>
        <v>12.558000000000002</v>
      </c>
      <c r="BE519">
        <f t="shared" si="439"/>
        <v>12.558000000000002</v>
      </c>
      <c r="BF519">
        <f t="shared" si="440"/>
        <v>12.558000000000002</v>
      </c>
      <c r="BG519">
        <f t="shared" si="441"/>
        <v>0</v>
      </c>
      <c r="BH519">
        <f t="shared" si="442"/>
        <v>0</v>
      </c>
      <c r="BI519">
        <f t="shared" si="443"/>
        <v>0</v>
      </c>
      <c r="BJ519">
        <f t="shared" si="444"/>
        <v>0</v>
      </c>
      <c r="BK519">
        <f t="shared" si="445"/>
        <v>0</v>
      </c>
      <c r="BL519">
        <f t="shared" si="446"/>
        <v>0</v>
      </c>
      <c r="BM519">
        <f t="shared" si="447"/>
        <v>0</v>
      </c>
      <c r="BN519">
        <f t="shared" si="448"/>
        <v>0</v>
      </c>
      <c r="BO519">
        <f t="shared" si="449"/>
        <v>0</v>
      </c>
      <c r="BP519">
        <f t="shared" si="450"/>
        <v>0</v>
      </c>
      <c r="BQ519">
        <f t="shared" si="451"/>
        <v>0</v>
      </c>
      <c r="BR519">
        <f t="shared" si="452"/>
        <v>0</v>
      </c>
      <c r="BS519">
        <f t="shared" si="453"/>
        <v>0</v>
      </c>
    </row>
    <row r="520" spans="2:71" x14ac:dyDescent="0.2">
      <c r="C520" t="s">
        <v>971</v>
      </c>
      <c r="D520" s="26">
        <f>0.075+0.107+0.135+0.272+0.5*(0.274+0.083)</f>
        <v>0.76749999999999996</v>
      </c>
      <c r="E520" s="15">
        <v>2.9</v>
      </c>
      <c r="F520" s="15">
        <v>1.7</v>
      </c>
      <c r="G520" s="15">
        <v>0.3</v>
      </c>
      <c r="H520" s="15">
        <f>M2475+M2476+M2478+M2483</f>
        <v>4.9140000000000006</v>
      </c>
      <c r="I520" s="15">
        <f>M2475+M2476+M2478+M2484</f>
        <v>3.2760000000000007</v>
      </c>
      <c r="J520" s="40">
        <f>I520</f>
        <v>3.2760000000000007</v>
      </c>
      <c r="K520" s="15">
        <f>M2475+M2476+M2478+M2486</f>
        <v>2.7300000000000004</v>
      </c>
      <c r="L520" s="15">
        <f>M2475+M2476+M2478+M2487</f>
        <v>0.54600000000000004</v>
      </c>
      <c r="M520" s="15">
        <f>0.55*7</f>
        <v>3.8500000000000005</v>
      </c>
      <c r="N520" s="40">
        <f>I520</f>
        <v>3.2760000000000007</v>
      </c>
      <c r="O520" s="40">
        <f>L520</f>
        <v>0.54600000000000004</v>
      </c>
      <c r="P520" s="15">
        <v>0</v>
      </c>
      <c r="Q520" s="15">
        <v>3.7</v>
      </c>
      <c r="R520" s="15">
        <v>0.8</v>
      </c>
      <c r="S520" s="15">
        <v>0</v>
      </c>
      <c r="T520" s="15">
        <f>3.9+0.2</f>
        <v>4.0999999999999996</v>
      </c>
      <c r="U520" s="15">
        <v>0</v>
      </c>
      <c r="V520" s="15">
        <v>0.8</v>
      </c>
      <c r="W520" s="15">
        <v>3.7</v>
      </c>
      <c r="X520" s="15">
        <v>0</v>
      </c>
      <c r="Y520" s="15">
        <v>0.4</v>
      </c>
      <c r="Z520" s="15">
        <v>1.3</v>
      </c>
      <c r="AA520" s="15">
        <v>0</v>
      </c>
      <c r="AB520" s="15">
        <v>0.2</v>
      </c>
      <c r="AC520" s="80"/>
      <c r="AD520" s="80"/>
      <c r="AT520" t="str">
        <f t="shared" si="454"/>
        <v>Gas, Fossils</v>
      </c>
      <c r="AU520">
        <f t="shared" si="429"/>
        <v>0.76749999999999996</v>
      </c>
      <c r="AV520">
        <f t="shared" si="430"/>
        <v>2.9</v>
      </c>
      <c r="AW520">
        <f t="shared" si="431"/>
        <v>1.7</v>
      </c>
      <c r="AX520">
        <f t="shared" si="432"/>
        <v>0.3</v>
      </c>
      <c r="AY520">
        <f t="shared" si="433"/>
        <v>4.9140000000000006</v>
      </c>
      <c r="AZ520">
        <f t="shared" si="434"/>
        <v>3.8500000000000005</v>
      </c>
      <c r="BA520">
        <f t="shared" si="435"/>
        <v>3.2760000000000007</v>
      </c>
      <c r="BB520">
        <f t="shared" si="436"/>
        <v>3.2760000000000007</v>
      </c>
      <c r="BC520">
        <f t="shared" si="437"/>
        <v>3.2760000000000007</v>
      </c>
      <c r="BD520">
        <f t="shared" si="438"/>
        <v>2.7300000000000004</v>
      </c>
      <c r="BE520">
        <f t="shared" si="439"/>
        <v>0.54600000000000004</v>
      </c>
      <c r="BF520">
        <f t="shared" si="440"/>
        <v>0.54600000000000004</v>
      </c>
      <c r="BG520">
        <f t="shared" si="441"/>
        <v>0</v>
      </c>
      <c r="BH520">
        <f t="shared" si="442"/>
        <v>3.7</v>
      </c>
      <c r="BI520">
        <f t="shared" si="443"/>
        <v>0.8</v>
      </c>
      <c r="BJ520">
        <f t="shared" si="444"/>
        <v>0</v>
      </c>
      <c r="BK520">
        <f t="shared" si="445"/>
        <v>4.0999999999999996</v>
      </c>
      <c r="BL520">
        <f t="shared" si="446"/>
        <v>3.7</v>
      </c>
      <c r="BM520">
        <f t="shared" si="447"/>
        <v>1.3</v>
      </c>
      <c r="BN520">
        <f t="shared" si="448"/>
        <v>0</v>
      </c>
      <c r="BO520">
        <f t="shared" si="449"/>
        <v>0</v>
      </c>
      <c r="BP520">
        <f t="shared" si="450"/>
        <v>0</v>
      </c>
      <c r="BQ520">
        <f t="shared" si="451"/>
        <v>0.8</v>
      </c>
      <c r="BR520">
        <f t="shared" si="452"/>
        <v>0.4</v>
      </c>
      <c r="BS520">
        <f t="shared" si="453"/>
        <v>0.2</v>
      </c>
    </row>
    <row r="521" spans="2:71" x14ac:dyDescent="0.2">
      <c r="C521" t="s">
        <v>957</v>
      </c>
      <c r="D521" s="4">
        <f t="shared" ref="D521:S521" si="456">SUM(D510:D520)</f>
        <v>18.817999999999998</v>
      </c>
      <c r="E521" s="107">
        <f t="shared" si="456"/>
        <v>25.2</v>
      </c>
      <c r="F521" s="107">
        <f t="shared" si="456"/>
        <v>30.499999999999996</v>
      </c>
      <c r="G521" s="107">
        <f t="shared" si="456"/>
        <v>36.099999999999994</v>
      </c>
      <c r="H521" s="4">
        <v>29.8</v>
      </c>
      <c r="I521" s="4">
        <v>35.799999999999997</v>
      </c>
      <c r="J521" s="4">
        <v>27.6</v>
      </c>
      <c r="K521" s="4">
        <v>34.700000000000003</v>
      </c>
      <c r="L521" s="4">
        <v>32.9</v>
      </c>
      <c r="M521" s="4">
        <v>28.7</v>
      </c>
      <c r="N521" s="4">
        <v>35.200000000000003</v>
      </c>
      <c r="O521" s="4">
        <v>33.6</v>
      </c>
      <c r="P521" s="4">
        <f t="shared" si="456"/>
        <v>34.799999999999997</v>
      </c>
      <c r="Q521" s="4">
        <f t="shared" si="456"/>
        <v>35.710000000000008</v>
      </c>
      <c r="R521" s="4">
        <f t="shared" si="456"/>
        <v>32.989999999999995</v>
      </c>
      <c r="S521" s="4">
        <f t="shared" si="456"/>
        <v>20.599999999999998</v>
      </c>
      <c r="T521" s="4">
        <f t="shared" ref="T521:AB521" si="457">SUM(T511:T520)</f>
        <v>29.1</v>
      </c>
      <c r="U521" s="4">
        <f t="shared" si="457"/>
        <v>27.900000000000002</v>
      </c>
      <c r="V521" s="4">
        <f t="shared" si="457"/>
        <v>23.9</v>
      </c>
      <c r="W521" s="4">
        <f t="shared" si="457"/>
        <v>25.9</v>
      </c>
      <c r="X521" s="4">
        <f t="shared" si="457"/>
        <v>28.1</v>
      </c>
      <c r="Y521" s="4">
        <f t="shared" si="457"/>
        <v>20.9</v>
      </c>
      <c r="Z521" s="4">
        <f t="shared" si="457"/>
        <v>28.7</v>
      </c>
      <c r="AA521" s="4">
        <f t="shared" si="457"/>
        <v>27.5</v>
      </c>
      <c r="AB521" s="4">
        <f t="shared" si="457"/>
        <v>20.2</v>
      </c>
      <c r="AC521" s="6"/>
      <c r="AD521" s="6"/>
      <c r="AT521" t="str">
        <f t="shared" si="454"/>
        <v>Sum</v>
      </c>
      <c r="AU521">
        <f t="shared" si="429"/>
        <v>18.817999999999998</v>
      </c>
      <c r="AV521">
        <f t="shared" si="430"/>
        <v>25.2</v>
      </c>
      <c r="AW521">
        <f t="shared" si="431"/>
        <v>30.499999999999996</v>
      </c>
      <c r="AX521">
        <f t="shared" si="432"/>
        <v>36.099999999999994</v>
      </c>
      <c r="AY521">
        <f t="shared" si="433"/>
        <v>29.8</v>
      </c>
      <c r="AZ521">
        <f t="shared" si="434"/>
        <v>28.7</v>
      </c>
      <c r="BA521">
        <f t="shared" si="435"/>
        <v>27.6</v>
      </c>
      <c r="BB521">
        <f t="shared" si="436"/>
        <v>35.799999999999997</v>
      </c>
      <c r="BC521">
        <f t="shared" si="437"/>
        <v>35.200000000000003</v>
      </c>
      <c r="BD521">
        <f t="shared" si="438"/>
        <v>34.700000000000003</v>
      </c>
      <c r="BE521">
        <f t="shared" si="439"/>
        <v>33.6</v>
      </c>
      <c r="BF521">
        <f t="shared" si="440"/>
        <v>32.9</v>
      </c>
      <c r="BG521">
        <f t="shared" si="441"/>
        <v>34.799999999999997</v>
      </c>
      <c r="BH521">
        <f t="shared" si="442"/>
        <v>35.710000000000008</v>
      </c>
      <c r="BI521">
        <f t="shared" si="443"/>
        <v>32.989999999999995</v>
      </c>
      <c r="BJ521">
        <f t="shared" si="444"/>
        <v>20.599999999999998</v>
      </c>
      <c r="BK521">
        <f t="shared" si="445"/>
        <v>29.1</v>
      </c>
      <c r="BL521">
        <f t="shared" si="446"/>
        <v>25.9</v>
      </c>
      <c r="BM521">
        <f t="shared" si="447"/>
        <v>28.7</v>
      </c>
      <c r="BN521">
        <f t="shared" si="448"/>
        <v>27.900000000000002</v>
      </c>
      <c r="BO521">
        <f t="shared" si="449"/>
        <v>28.1</v>
      </c>
      <c r="BP521">
        <f t="shared" si="450"/>
        <v>27.5</v>
      </c>
      <c r="BQ521">
        <f t="shared" si="451"/>
        <v>23.9</v>
      </c>
      <c r="BR521">
        <f t="shared" si="452"/>
        <v>20.9</v>
      </c>
      <c r="BS521">
        <f t="shared" si="453"/>
        <v>20.2</v>
      </c>
    </row>
    <row r="522" spans="2:71" ht="15" x14ac:dyDescent="0.25">
      <c r="B522" s="2"/>
      <c r="C522" s="156"/>
      <c r="D522" s="29"/>
      <c r="E522" s="29"/>
      <c r="F522" s="29"/>
      <c r="G522" s="29"/>
      <c r="H522" s="29"/>
      <c r="I522" s="29" t="s">
        <v>1278</v>
      </c>
      <c r="J522" s="29"/>
      <c r="K522" s="29"/>
      <c r="L522" s="29"/>
      <c r="M522" s="29"/>
      <c r="N522" s="25"/>
      <c r="O522" s="25"/>
    </row>
    <row r="523" spans="2:71" ht="15" x14ac:dyDescent="0.25">
      <c r="B523" s="2"/>
      <c r="C523" s="156"/>
      <c r="D523" s="29"/>
      <c r="E523" s="29"/>
      <c r="F523" s="29"/>
      <c r="G523" s="29"/>
      <c r="H523" s="29" t="s">
        <v>1298</v>
      </c>
      <c r="I523" s="114">
        <f t="shared" ref="I523:O523" si="458">SUM(H510:H520)</f>
        <v>28.392000000000003</v>
      </c>
      <c r="J523" s="114">
        <f t="shared" si="458"/>
        <v>34.398000000000003</v>
      </c>
      <c r="K523" s="114">
        <f t="shared" si="458"/>
        <v>26.754000000000001</v>
      </c>
      <c r="L523" s="114">
        <f t="shared" si="458"/>
        <v>33.852000000000004</v>
      </c>
      <c r="M523" s="114">
        <f t="shared" si="458"/>
        <v>31.667999999999999</v>
      </c>
      <c r="N523" s="114">
        <f t="shared" si="458"/>
        <v>27.328000000000003</v>
      </c>
      <c r="O523" s="114">
        <f t="shared" si="458"/>
        <v>34.398000000000003</v>
      </c>
    </row>
    <row r="524" spans="2:71" ht="15" x14ac:dyDescent="0.25">
      <c r="B524" s="2"/>
      <c r="C524" s="156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5"/>
      <c r="O524" s="25"/>
      <c r="P524" s="25"/>
    </row>
    <row r="525" spans="2:71" ht="15" x14ac:dyDescent="0.25">
      <c r="B525" s="2"/>
      <c r="C525" s="156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5"/>
      <c r="O525" s="25"/>
      <c r="P525" s="25"/>
    </row>
    <row r="526" spans="2:71" ht="15" x14ac:dyDescent="0.25">
      <c r="B526" s="2"/>
      <c r="C526" s="156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5"/>
      <c r="O526" s="25"/>
      <c r="P526" s="25"/>
    </row>
    <row r="527" spans="2:71" ht="15" x14ac:dyDescent="0.25">
      <c r="B527" s="2"/>
      <c r="C527" s="156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5"/>
      <c r="O527" s="25"/>
      <c r="P527" s="25"/>
    </row>
    <row r="528" spans="2:71" ht="15" x14ac:dyDescent="0.25">
      <c r="B528" s="2"/>
      <c r="C528" s="29"/>
      <c r="D528" s="29"/>
      <c r="G528" s="25"/>
      <c r="H528" s="25"/>
      <c r="I528" s="25"/>
      <c r="J528" s="25"/>
      <c r="K528" s="25"/>
      <c r="L528" s="25"/>
      <c r="M528" s="25"/>
      <c r="N528" s="25"/>
      <c r="O528" s="25"/>
      <c r="P528" s="25"/>
    </row>
    <row r="529" spans="2:36" x14ac:dyDescent="0.2">
      <c r="B529" s="99" t="s">
        <v>949</v>
      </c>
      <c r="C529" s="14"/>
      <c r="D529" s="14"/>
      <c r="E529" s="14"/>
      <c r="F529" s="14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</row>
    <row r="530" spans="2:36" ht="15" x14ac:dyDescent="0.25">
      <c r="B530" s="2"/>
      <c r="C530" s="29"/>
      <c r="D530" s="29"/>
      <c r="G530" s="25"/>
      <c r="H530" s="25"/>
      <c r="I530" s="25"/>
      <c r="J530" s="25"/>
      <c r="K530" s="25"/>
      <c r="L530" s="25"/>
      <c r="M530" s="25"/>
      <c r="N530" s="25"/>
      <c r="O530" s="25"/>
      <c r="P530" s="25"/>
    </row>
    <row r="531" spans="2:36" ht="15" x14ac:dyDescent="0.25">
      <c r="B531" s="2"/>
      <c r="C531" s="29"/>
      <c r="D531" s="29"/>
      <c r="G531" s="25"/>
      <c r="H531" s="25"/>
      <c r="I531" s="25"/>
      <c r="J531" s="25"/>
      <c r="K531" s="25"/>
      <c r="L531" s="25"/>
      <c r="M531" s="25"/>
      <c r="N531" s="25"/>
      <c r="O531" s="25"/>
      <c r="P531" s="25"/>
    </row>
    <row r="532" spans="2:36" x14ac:dyDescent="0.2">
      <c r="G532" s="25"/>
      <c r="H532" s="25"/>
      <c r="I532" s="25"/>
      <c r="J532" s="25"/>
      <c r="K532" s="25"/>
      <c r="L532" s="25"/>
      <c r="M532" s="25"/>
      <c r="N532" s="25"/>
      <c r="O532" s="25"/>
      <c r="P532" s="25"/>
    </row>
    <row r="533" spans="2:36" x14ac:dyDescent="0.2">
      <c r="G533" s="25"/>
      <c r="H533" s="25"/>
      <c r="I533" s="25"/>
      <c r="J533" s="25"/>
      <c r="K533" s="25"/>
      <c r="L533" s="25"/>
      <c r="M533" s="25"/>
      <c r="N533" s="25"/>
      <c r="O533" s="25"/>
      <c r="P533" s="25"/>
    </row>
    <row r="534" spans="2:36" x14ac:dyDescent="0.2">
      <c r="G534" s="25"/>
      <c r="H534" s="25"/>
      <c r="I534" s="25"/>
      <c r="J534" s="25"/>
      <c r="K534" s="25"/>
      <c r="L534" s="25"/>
      <c r="M534" s="25"/>
      <c r="N534" s="25"/>
      <c r="O534" s="25"/>
      <c r="P534" s="25"/>
    </row>
    <row r="535" spans="2:36" x14ac:dyDescent="0.2">
      <c r="G535" s="25"/>
      <c r="H535" s="25"/>
      <c r="I535" s="25"/>
      <c r="J535" s="25"/>
      <c r="K535" s="25"/>
      <c r="L535" s="25"/>
      <c r="M535" s="25"/>
      <c r="N535" s="25"/>
      <c r="O535" s="25"/>
      <c r="P535" s="25"/>
    </row>
    <row r="536" spans="2:36" x14ac:dyDescent="0.2">
      <c r="G536" s="25"/>
      <c r="H536" s="25"/>
      <c r="I536" s="25"/>
      <c r="J536" s="25"/>
      <c r="K536" s="25"/>
      <c r="L536" s="25"/>
      <c r="M536" s="25"/>
      <c r="N536" s="25"/>
      <c r="O536" s="25"/>
      <c r="P536" s="25"/>
    </row>
    <row r="537" spans="2:36" ht="15" x14ac:dyDescent="0.25">
      <c r="B537" s="2" t="s">
        <v>1022</v>
      </c>
      <c r="G537" s="25"/>
      <c r="H537" s="25"/>
      <c r="I537" s="25"/>
      <c r="J537" s="25"/>
      <c r="K537" s="25"/>
      <c r="L537" s="25"/>
      <c r="M537" s="25"/>
      <c r="N537" s="25"/>
      <c r="O537" s="25"/>
      <c r="P537" s="25"/>
    </row>
    <row r="538" spans="2:36" ht="15" x14ac:dyDescent="0.25">
      <c r="B538" s="13" t="s">
        <v>1023</v>
      </c>
      <c r="E538" s="2">
        <v>2010</v>
      </c>
      <c r="F538" s="2">
        <v>2015</v>
      </c>
      <c r="G538" s="2">
        <v>2020</v>
      </c>
      <c r="H538" s="2">
        <v>2025</v>
      </c>
      <c r="I538" s="2">
        <v>2030</v>
      </c>
      <c r="J538" s="2">
        <v>2035</v>
      </c>
      <c r="K538" s="2">
        <v>2040</v>
      </c>
      <c r="L538" s="2">
        <v>2045</v>
      </c>
      <c r="M538" s="2">
        <v>2050</v>
      </c>
      <c r="N538" s="25"/>
      <c r="O538" s="25"/>
      <c r="P538" s="25"/>
    </row>
    <row r="539" spans="2:36" x14ac:dyDescent="0.2">
      <c r="D539" t="s">
        <v>938</v>
      </c>
      <c r="E539" s="108">
        <f>E542</f>
        <v>0.4</v>
      </c>
      <c r="F539" s="109">
        <f>4/5*E539+1/5*J539</f>
        <v>1.8800000000000001</v>
      </c>
      <c r="G539" s="109">
        <f>3/5*E539+2/5*J539</f>
        <v>3.3600000000000003</v>
      </c>
      <c r="H539" s="109">
        <f>2/5*E539+3/5*J539</f>
        <v>4.84</v>
      </c>
      <c r="I539" s="109">
        <f>1/5*E539+4/5*J539</f>
        <v>6.32</v>
      </c>
      <c r="J539">
        <f>J977</f>
        <v>7.8</v>
      </c>
      <c r="K539" s="107">
        <f>2/3*J539+1/3*M539</f>
        <v>7.2333333333333325</v>
      </c>
      <c r="L539" s="107">
        <f>1/3*J539+2/3*M539</f>
        <v>6.6666666666666661</v>
      </c>
      <c r="M539">
        <f>M977</f>
        <v>6.1</v>
      </c>
      <c r="N539" s="25"/>
      <c r="O539" s="25"/>
      <c r="P539" s="25"/>
    </row>
    <row r="540" spans="2:36" x14ac:dyDescent="0.2">
      <c r="D540" t="s">
        <v>939</v>
      </c>
      <c r="E540" s="108">
        <f t="shared" ref="E540:E541" si="459">E543</f>
        <v>0.4</v>
      </c>
      <c r="F540" s="109">
        <f t="shared" ref="F540:F541" si="460">4/5*E540+1/5*J540</f>
        <v>1.3800000000000001</v>
      </c>
      <c r="G540" s="109">
        <f t="shared" ref="G540:G541" si="461">3/5*E540+2/5*J540</f>
        <v>2.3600000000000003</v>
      </c>
      <c r="H540" s="109">
        <f t="shared" ref="H540:H541" si="462">2/5*E540+3/5*J540</f>
        <v>3.34</v>
      </c>
      <c r="I540" s="109">
        <f t="shared" ref="I540:I541" si="463">1/5*E540+4/5*J540</f>
        <v>4.32</v>
      </c>
      <c r="J540">
        <f>J978</f>
        <v>5.3</v>
      </c>
      <c r="K540" s="107">
        <f t="shared" ref="K540:K541" si="464">2/3*J540+1/3*M540</f>
        <v>4.6999999999999993</v>
      </c>
      <c r="L540" s="107">
        <f t="shared" ref="L540:L541" si="465">1/3*J540+2/3*M540</f>
        <v>4.0999999999999996</v>
      </c>
      <c r="M540">
        <f>M978</f>
        <v>3.5</v>
      </c>
      <c r="N540" s="25"/>
      <c r="O540" s="25"/>
      <c r="P540" s="25"/>
    </row>
    <row r="541" spans="2:36" x14ac:dyDescent="0.2">
      <c r="D541" t="s">
        <v>940</v>
      </c>
      <c r="E541" s="108">
        <f t="shared" si="459"/>
        <v>0.4</v>
      </c>
      <c r="F541" s="109">
        <f t="shared" si="460"/>
        <v>0.66000000000000014</v>
      </c>
      <c r="G541" s="109">
        <f t="shared" si="461"/>
        <v>0.92</v>
      </c>
      <c r="H541" s="109">
        <f t="shared" si="462"/>
        <v>1.1800000000000002</v>
      </c>
      <c r="I541" s="109">
        <f t="shared" si="463"/>
        <v>1.4400000000000002</v>
      </c>
      <c r="J541">
        <f>J979</f>
        <v>1.7</v>
      </c>
      <c r="K541" s="107">
        <f t="shared" si="464"/>
        <v>1.5999999999999999</v>
      </c>
      <c r="L541" s="107">
        <f t="shared" si="465"/>
        <v>1.5</v>
      </c>
      <c r="M541">
        <f>M979</f>
        <v>1.4</v>
      </c>
      <c r="N541" s="25"/>
      <c r="O541" s="25"/>
      <c r="P541" s="25"/>
    </row>
    <row r="542" spans="2:36" x14ac:dyDescent="0.2">
      <c r="D542" t="s">
        <v>941</v>
      </c>
      <c r="E542">
        <f>E2500</f>
        <v>0.4</v>
      </c>
      <c r="F542">
        <f t="shared" ref="F542:M542" si="466">F2500</f>
        <v>0.5</v>
      </c>
      <c r="G542">
        <f t="shared" si="466"/>
        <v>1.4</v>
      </c>
      <c r="H542">
        <f t="shared" si="466"/>
        <v>2.7</v>
      </c>
      <c r="I542">
        <f t="shared" si="466"/>
        <v>4.5</v>
      </c>
      <c r="J542">
        <f t="shared" si="466"/>
        <v>8.9</v>
      </c>
      <c r="K542">
        <f t="shared" si="466"/>
        <v>8.9</v>
      </c>
      <c r="L542">
        <f t="shared" si="466"/>
        <v>9.1999999999999993</v>
      </c>
      <c r="M542">
        <f t="shared" si="466"/>
        <v>9.1999999999999993</v>
      </c>
      <c r="N542" s="25"/>
      <c r="O542" s="25"/>
      <c r="P542" s="25"/>
    </row>
    <row r="543" spans="2:36" x14ac:dyDescent="0.2">
      <c r="D543" t="s">
        <v>942</v>
      </c>
      <c r="E543">
        <f>E2501</f>
        <v>0.4</v>
      </c>
      <c r="F543">
        <f t="shared" ref="F543:M543" si="467">F2501</f>
        <v>0.5</v>
      </c>
      <c r="G543">
        <f t="shared" si="467"/>
        <v>1.1000000000000001</v>
      </c>
      <c r="H543">
        <f t="shared" si="467"/>
        <v>2.1</v>
      </c>
      <c r="I543">
        <f t="shared" si="467"/>
        <v>3</v>
      </c>
      <c r="J543">
        <f t="shared" si="467"/>
        <v>6.6</v>
      </c>
      <c r="K543">
        <f t="shared" si="467"/>
        <v>5.5</v>
      </c>
      <c r="L543">
        <f t="shared" si="467"/>
        <v>4.7</v>
      </c>
      <c r="M543">
        <f t="shared" si="467"/>
        <v>4.4000000000000004</v>
      </c>
      <c r="N543" s="25"/>
      <c r="O543" s="25"/>
      <c r="P543" s="25"/>
    </row>
    <row r="544" spans="2:36" x14ac:dyDescent="0.2">
      <c r="D544" t="s">
        <v>943</v>
      </c>
      <c r="E544">
        <f>E2509</f>
        <v>0.4</v>
      </c>
      <c r="F544">
        <f t="shared" ref="F544:M544" si="468">F2509</f>
        <v>0.5</v>
      </c>
      <c r="G544">
        <f t="shared" si="468"/>
        <v>0.8</v>
      </c>
      <c r="H544">
        <f t="shared" si="468"/>
        <v>1.6</v>
      </c>
      <c r="I544">
        <f t="shared" si="468"/>
        <v>2.4</v>
      </c>
      <c r="J544">
        <f t="shared" si="468"/>
        <v>5.7</v>
      </c>
      <c r="K544">
        <f t="shared" si="468"/>
        <v>4.9000000000000004</v>
      </c>
      <c r="L544">
        <f t="shared" si="468"/>
        <v>4.5</v>
      </c>
      <c r="M544">
        <f t="shared" si="468"/>
        <v>3.8</v>
      </c>
      <c r="N544" s="25"/>
      <c r="O544" s="25"/>
      <c r="P544" s="25"/>
    </row>
    <row r="545" spans="4:16" x14ac:dyDescent="0.2">
      <c r="D545" t="s">
        <v>944</v>
      </c>
      <c r="E545">
        <f t="shared" ref="E545:M546" si="469">E2510</f>
        <v>0.4</v>
      </c>
      <c r="F545">
        <f t="shared" si="469"/>
        <v>0.5</v>
      </c>
      <c r="G545">
        <f t="shared" si="469"/>
        <v>0.6</v>
      </c>
      <c r="H545">
        <f t="shared" si="469"/>
        <v>1.1000000000000001</v>
      </c>
      <c r="I545">
        <f t="shared" si="469"/>
        <v>1.6</v>
      </c>
      <c r="J545">
        <f t="shared" si="469"/>
        <v>3.5</v>
      </c>
      <c r="K545">
        <f t="shared" si="469"/>
        <v>2.7</v>
      </c>
      <c r="L545">
        <f t="shared" si="469"/>
        <v>2</v>
      </c>
      <c r="M545">
        <f t="shared" si="469"/>
        <v>1.3</v>
      </c>
      <c r="N545" s="25"/>
      <c r="O545" s="25"/>
      <c r="P545" s="25"/>
    </row>
    <row r="546" spans="4:16" x14ac:dyDescent="0.2">
      <c r="D546" t="s">
        <v>945</v>
      </c>
      <c r="E546">
        <f t="shared" si="469"/>
        <v>0.4</v>
      </c>
      <c r="F546">
        <f t="shared" si="469"/>
        <v>0.5</v>
      </c>
      <c r="G546">
        <f t="shared" si="469"/>
        <v>0.6</v>
      </c>
      <c r="H546">
        <f t="shared" si="469"/>
        <v>0.6</v>
      </c>
      <c r="I546">
        <f t="shared" si="469"/>
        <v>0.6</v>
      </c>
      <c r="J546">
        <f t="shared" si="469"/>
        <v>0.6</v>
      </c>
      <c r="K546">
        <f t="shared" si="469"/>
        <v>0.5</v>
      </c>
      <c r="L546">
        <f t="shared" si="469"/>
        <v>0.5</v>
      </c>
      <c r="M546">
        <f t="shared" si="469"/>
        <v>0.5</v>
      </c>
      <c r="N546" s="25"/>
      <c r="O546" s="25"/>
      <c r="P546" s="25"/>
    </row>
    <row r="547" spans="4:16" x14ac:dyDescent="0.2">
      <c r="D547" s="9" t="s">
        <v>946</v>
      </c>
      <c r="E547">
        <f>E2520</f>
        <v>0.4</v>
      </c>
      <c r="F547">
        <f t="shared" ref="F547:M547" si="470">F2520</f>
        <v>0.5</v>
      </c>
      <c r="G547">
        <f t="shared" si="470"/>
        <v>0.9</v>
      </c>
      <c r="H547">
        <f t="shared" si="470"/>
        <v>1.8</v>
      </c>
      <c r="I547">
        <f t="shared" si="470"/>
        <v>2.8</v>
      </c>
      <c r="J547">
        <f t="shared" si="470"/>
        <v>6.7</v>
      </c>
      <c r="K547">
        <f t="shared" si="470"/>
        <v>6.4</v>
      </c>
      <c r="L547">
        <f t="shared" si="470"/>
        <v>6.6</v>
      </c>
      <c r="M547">
        <f t="shared" si="470"/>
        <v>6.4</v>
      </c>
      <c r="N547" s="25"/>
      <c r="O547" s="25"/>
      <c r="P547" s="25"/>
    </row>
    <row r="548" spans="4:16" x14ac:dyDescent="0.2">
      <c r="D548" s="9" t="s">
        <v>947</v>
      </c>
      <c r="E548">
        <f t="shared" ref="E548:M549" si="471">E2521</f>
        <v>0.4</v>
      </c>
      <c r="F548">
        <f t="shared" si="471"/>
        <v>0.5</v>
      </c>
      <c r="G548">
        <f t="shared" si="471"/>
        <v>0.6</v>
      </c>
      <c r="H548">
        <f t="shared" si="471"/>
        <v>1.2</v>
      </c>
      <c r="I548">
        <f t="shared" si="471"/>
        <v>1.9</v>
      </c>
      <c r="J548">
        <f t="shared" si="471"/>
        <v>4.3</v>
      </c>
      <c r="K548">
        <f t="shared" si="471"/>
        <v>3.5</v>
      </c>
      <c r="L548">
        <f t="shared" si="471"/>
        <v>3.2</v>
      </c>
      <c r="M548">
        <f t="shared" si="471"/>
        <v>2.8</v>
      </c>
      <c r="N548" s="25"/>
      <c r="O548" s="25"/>
      <c r="P548" s="25"/>
    </row>
    <row r="549" spans="4:16" x14ac:dyDescent="0.2">
      <c r="D549" s="9" t="s">
        <v>948</v>
      </c>
      <c r="E549">
        <f t="shared" si="471"/>
        <v>0.4</v>
      </c>
      <c r="F549">
        <f t="shared" si="471"/>
        <v>0.5</v>
      </c>
      <c r="G549">
        <f t="shared" si="471"/>
        <v>0.6</v>
      </c>
      <c r="H549">
        <f t="shared" si="471"/>
        <v>0.6</v>
      </c>
      <c r="I549">
        <f t="shared" si="471"/>
        <v>0.6</v>
      </c>
      <c r="J549">
        <f t="shared" si="471"/>
        <v>0.6</v>
      </c>
      <c r="K549">
        <f t="shared" si="471"/>
        <v>0.5</v>
      </c>
      <c r="L549">
        <f t="shared" si="471"/>
        <v>0.5</v>
      </c>
      <c r="M549">
        <f t="shared" si="471"/>
        <v>0.5</v>
      </c>
      <c r="N549" s="25"/>
      <c r="O549" s="25"/>
      <c r="P549" s="25"/>
    </row>
    <row r="550" spans="4:16" x14ac:dyDescent="0.2">
      <c r="D550" s="9" t="s">
        <v>916</v>
      </c>
      <c r="E550">
        <f>E1230</f>
        <v>0.2</v>
      </c>
      <c r="F550">
        <f t="shared" ref="F550:M550" si="472">F1230</f>
        <v>0.1</v>
      </c>
      <c r="G550">
        <f t="shared" si="472"/>
        <v>0.1</v>
      </c>
      <c r="H550" s="109">
        <f>1/2*(G550+I550)</f>
        <v>7.0000000000000007E-2</v>
      </c>
      <c r="I550">
        <f t="shared" si="472"/>
        <v>0.04</v>
      </c>
      <c r="J550" s="109">
        <f>1/2*(I550+K550)</f>
        <v>2.5000000000000001E-2</v>
      </c>
      <c r="K550">
        <f t="shared" si="472"/>
        <v>0.01</v>
      </c>
      <c r="L550" s="109">
        <f>1/2*(K550+M550)</f>
        <v>5.0000000000000001E-3</v>
      </c>
      <c r="M550">
        <f t="shared" si="472"/>
        <v>0</v>
      </c>
      <c r="N550" s="25"/>
      <c r="O550" s="25"/>
      <c r="P550" s="25"/>
    </row>
    <row r="551" spans="4:16" x14ac:dyDescent="0.2">
      <c r="D551" t="s">
        <v>1346</v>
      </c>
      <c r="E551" s="4">
        <f>E3061</f>
        <v>0.96291616173665617</v>
      </c>
      <c r="F551" s="4">
        <f t="shared" ref="F551:M551" si="473">F3061</f>
        <v>0.74267643060256827</v>
      </c>
      <c r="G551" s="4">
        <f t="shared" si="473"/>
        <v>1.7623823511533081</v>
      </c>
      <c r="H551" s="4">
        <f t="shared" si="473"/>
        <v>3.9843742838747307</v>
      </c>
      <c r="I551" s="4"/>
      <c r="J551" s="4">
        <f t="shared" si="473"/>
        <v>5.9083553782013025</v>
      </c>
      <c r="K551" s="4"/>
      <c r="L551" s="4"/>
      <c r="M551" s="4">
        <f t="shared" si="473"/>
        <v>7.6835132262578103</v>
      </c>
      <c r="N551" s="25"/>
      <c r="O551" s="25"/>
      <c r="P551" s="25"/>
    </row>
    <row r="552" spans="4:16" x14ac:dyDescent="0.2">
      <c r="D552" t="s">
        <v>1347</v>
      </c>
      <c r="E552" s="4">
        <f t="shared" ref="E552:M559" si="474">E3062</f>
        <v>0.96291616173665617</v>
      </c>
      <c r="F552" s="4">
        <f t="shared" si="474"/>
        <v>0.67290821301825854</v>
      </c>
      <c r="G552" s="4">
        <f t="shared" si="474"/>
        <v>0.49395035410756299</v>
      </c>
      <c r="H552" s="4">
        <f t="shared" si="474"/>
        <v>0.33664226700508165</v>
      </c>
      <c r="I552" s="4"/>
      <c r="J552" s="4">
        <f t="shared" si="474"/>
        <v>3.2935345741466115E-2</v>
      </c>
      <c r="K552" s="4"/>
      <c r="L552" s="4"/>
      <c r="M552" s="4">
        <f t="shared" si="474"/>
        <v>0</v>
      </c>
      <c r="N552" s="25"/>
      <c r="O552" s="25"/>
      <c r="P552" s="25"/>
    </row>
    <row r="553" spans="4:16" x14ac:dyDescent="0.2">
      <c r="D553" t="s">
        <v>1348</v>
      </c>
      <c r="E553" s="4">
        <f t="shared" si="474"/>
        <v>0.96291616173665617</v>
      </c>
      <c r="F553" s="4">
        <f t="shared" si="474"/>
        <v>0.74546168433599402</v>
      </c>
      <c r="G553" s="4">
        <f t="shared" si="474"/>
        <v>1.9858681044398021</v>
      </c>
      <c r="H553" s="4">
        <f t="shared" si="474"/>
        <v>4.0038118123437734</v>
      </c>
      <c r="I553" s="4"/>
      <c r="J553" s="4">
        <f t="shared" si="474"/>
        <v>0</v>
      </c>
      <c r="K553" s="4"/>
      <c r="L553" s="4"/>
      <c r="M553" s="4">
        <f t="shared" si="474"/>
        <v>1.78340864148213</v>
      </c>
      <c r="N553" s="25"/>
      <c r="O553" s="25"/>
      <c r="P553" s="25"/>
    </row>
    <row r="554" spans="4:16" x14ac:dyDescent="0.2">
      <c r="D554" t="s">
        <v>1349</v>
      </c>
      <c r="E554" s="4">
        <f t="shared" si="474"/>
        <v>0.96291616173665617</v>
      </c>
      <c r="F554" s="4">
        <f t="shared" si="474"/>
        <v>0</v>
      </c>
      <c r="G554" s="4">
        <f t="shared" si="474"/>
        <v>0.62338550020540595</v>
      </c>
      <c r="H554" s="4">
        <f t="shared" si="474"/>
        <v>1.7177106708543191</v>
      </c>
      <c r="I554" s="4"/>
      <c r="J554" s="4">
        <f t="shared" si="474"/>
        <v>3.0134985310195499</v>
      </c>
      <c r="K554" s="4"/>
      <c r="L554" s="4"/>
      <c r="M554" s="4">
        <f t="shared" si="474"/>
        <v>0.63880767123287607</v>
      </c>
      <c r="N554" s="25"/>
      <c r="O554" s="25"/>
      <c r="P554" s="25"/>
    </row>
    <row r="555" spans="4:16" x14ac:dyDescent="0.2">
      <c r="D555" t="s">
        <v>1350</v>
      </c>
      <c r="E555" s="4">
        <f t="shared" si="474"/>
        <v>0.96291616173665617</v>
      </c>
      <c r="F555" s="4">
        <f t="shared" si="474"/>
        <v>0.65860047214341799</v>
      </c>
      <c r="G555" s="4">
        <f t="shared" si="474"/>
        <v>0.49395035410756299</v>
      </c>
      <c r="H555" s="4">
        <f t="shared" si="474"/>
        <v>0.25477573044191998</v>
      </c>
      <c r="I555" s="4"/>
      <c r="J555" s="4">
        <f t="shared" si="474"/>
        <v>2.48622045616863E-2</v>
      </c>
      <c r="K555" s="4"/>
      <c r="L555" s="4"/>
      <c r="M555" s="4">
        <f t="shared" si="474"/>
        <v>0</v>
      </c>
      <c r="N555" s="25"/>
      <c r="O555" s="25"/>
      <c r="P555" s="25"/>
    </row>
    <row r="556" spans="4:16" x14ac:dyDescent="0.2">
      <c r="D556" t="s">
        <v>1351</v>
      </c>
      <c r="E556" s="4">
        <f t="shared" si="474"/>
        <v>0.96291616173665617</v>
      </c>
      <c r="F556" s="4">
        <f t="shared" si="474"/>
        <v>0</v>
      </c>
      <c r="G556" s="4">
        <f t="shared" si="474"/>
        <v>0.62338550020540495</v>
      </c>
      <c r="H556" s="4">
        <f t="shared" si="474"/>
        <v>1.7177106708543191</v>
      </c>
      <c r="I556" s="4"/>
      <c r="J556" s="4">
        <f t="shared" si="474"/>
        <v>0</v>
      </c>
      <c r="K556" s="4"/>
      <c r="L556" s="4"/>
      <c r="M556" s="4">
        <f t="shared" si="474"/>
        <v>0</v>
      </c>
      <c r="N556" s="25"/>
      <c r="O556" s="25"/>
      <c r="P556" s="25"/>
    </row>
    <row r="557" spans="4:16" x14ac:dyDescent="0.2">
      <c r="D557" t="s">
        <v>1352</v>
      </c>
      <c r="E557" s="4">
        <f t="shared" si="474"/>
        <v>0.96291616173665617</v>
      </c>
      <c r="F557" s="4">
        <f t="shared" si="474"/>
        <v>0</v>
      </c>
      <c r="G557" s="4">
        <f t="shared" si="474"/>
        <v>0.75065142393065798</v>
      </c>
      <c r="H557" s="4">
        <f t="shared" si="474"/>
        <v>2.2464465303811894</v>
      </c>
      <c r="I557" s="4"/>
      <c r="J557" s="4">
        <f t="shared" si="474"/>
        <v>4.1335575502373603</v>
      </c>
      <c r="K557" s="4"/>
      <c r="L557" s="4"/>
      <c r="M557" s="4">
        <f t="shared" si="474"/>
        <v>5.9</v>
      </c>
      <c r="N557" s="25"/>
      <c r="O557" s="25"/>
      <c r="P557" s="25"/>
    </row>
    <row r="558" spans="4:16" x14ac:dyDescent="0.2">
      <c r="D558" t="s">
        <v>1353</v>
      </c>
      <c r="E558" s="4">
        <f t="shared" si="474"/>
        <v>0.96291616173665617</v>
      </c>
      <c r="F558" s="4">
        <f t="shared" si="474"/>
        <v>0.65860047214341799</v>
      </c>
      <c r="G558" s="4">
        <f t="shared" si="474"/>
        <v>0.49395035410756299</v>
      </c>
      <c r="H558" s="4">
        <f t="shared" si="474"/>
        <v>0.329300236071709</v>
      </c>
      <c r="I558" s="4"/>
      <c r="J558" s="4">
        <f t="shared" si="474"/>
        <v>3.3180163919050376E-2</v>
      </c>
      <c r="K558" s="4"/>
      <c r="L558" s="4"/>
      <c r="M558" s="4">
        <f t="shared" si="474"/>
        <v>0</v>
      </c>
      <c r="N558" s="25"/>
      <c r="O558" s="25"/>
      <c r="P558" s="25"/>
    </row>
    <row r="559" spans="4:16" x14ac:dyDescent="0.2">
      <c r="D559" t="s">
        <v>1354</v>
      </c>
      <c r="E559" s="4">
        <f t="shared" si="474"/>
        <v>0.96291616173665617</v>
      </c>
      <c r="F559" s="4">
        <f t="shared" si="474"/>
        <v>0</v>
      </c>
      <c r="G559" s="4">
        <f t="shared" si="474"/>
        <v>0.75782414535353504</v>
      </c>
      <c r="H559" s="4">
        <f t="shared" si="474"/>
        <v>2.2770303700770489</v>
      </c>
      <c r="I559" s="4"/>
      <c r="J559" s="4">
        <f t="shared" si="474"/>
        <v>0</v>
      </c>
      <c r="K559" s="4"/>
      <c r="L559" s="4"/>
      <c r="M559" s="4">
        <f t="shared" si="474"/>
        <v>9.5208697347297699E-2</v>
      </c>
      <c r="N559" s="25"/>
      <c r="O559" s="25"/>
      <c r="P559" s="25"/>
    </row>
    <row r="560" spans="4:16" x14ac:dyDescent="0.2">
      <c r="D560" s="9" t="s">
        <v>962</v>
      </c>
      <c r="E560" s="4">
        <f>AVERAGE(E539:E559)</f>
        <v>0.63172597407761444</v>
      </c>
      <c r="F560" s="4">
        <f t="shared" ref="F560:M560" si="475">AVERAGE(F539:F559)</f>
        <v>0.54753558439255501</v>
      </c>
      <c r="G560" s="4">
        <f t="shared" si="475"/>
        <v>1.015492766076705</v>
      </c>
      <c r="H560" s="4">
        <f t="shared" si="475"/>
        <v>1.8094191700906712</v>
      </c>
      <c r="I560" s="4">
        <f t="shared" si="475"/>
        <v>2.46</v>
      </c>
      <c r="J560" s="4">
        <f t="shared" si="475"/>
        <v>3.0891137701752576</v>
      </c>
      <c r="K560" s="4">
        <f t="shared" si="475"/>
        <v>3.8702777777777775</v>
      </c>
      <c r="L560" s="4">
        <f t="shared" si="475"/>
        <v>3.6226388888888894</v>
      </c>
      <c r="M560" s="4">
        <f t="shared" si="475"/>
        <v>2.6667113445866719</v>
      </c>
      <c r="N560" s="25"/>
      <c r="O560" s="25"/>
      <c r="P560" s="25"/>
    </row>
    <row r="561" spans="1:28" x14ac:dyDescent="0.2">
      <c r="D561" s="9"/>
      <c r="E561" s="4"/>
      <c r="F561" s="4"/>
      <c r="G561" s="4"/>
      <c r="H561" s="4"/>
      <c r="I561" s="4"/>
      <c r="J561" s="4"/>
      <c r="K561" s="4"/>
      <c r="L561" s="4"/>
      <c r="M561" s="4"/>
      <c r="N561" s="25"/>
      <c r="O561" s="25"/>
      <c r="P561" s="25"/>
    </row>
    <row r="562" spans="1:28" x14ac:dyDescent="0.2">
      <c r="B562" s="99" t="s">
        <v>949</v>
      </c>
      <c r="C562" s="14"/>
      <c r="D562" s="14"/>
      <c r="E562" s="14"/>
      <c r="F562" s="14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1:28" x14ac:dyDescent="0.2">
      <c r="G563" s="25"/>
      <c r="H563" s="25"/>
      <c r="I563" s="25"/>
      <c r="J563" s="25"/>
      <c r="K563" s="25"/>
      <c r="L563" s="25"/>
      <c r="M563" s="25"/>
      <c r="N563" s="25"/>
      <c r="O563" s="25"/>
      <c r="P563" s="25"/>
    </row>
    <row r="564" spans="1:28" ht="25.5" x14ac:dyDescent="0.35">
      <c r="A564" s="5" t="s">
        <v>253</v>
      </c>
      <c r="G564" s="25"/>
      <c r="H564" s="25"/>
      <c r="I564" s="25"/>
      <c r="J564" s="25"/>
      <c r="K564" s="25"/>
      <c r="L564" s="25"/>
      <c r="M564" s="25"/>
      <c r="N564" s="25"/>
      <c r="O564" s="25"/>
      <c r="P564" s="25"/>
    </row>
    <row r="565" spans="1:28" x14ac:dyDescent="0.2">
      <c r="G565" s="25"/>
      <c r="H565" s="25"/>
      <c r="I565" s="25"/>
      <c r="J565" s="25"/>
      <c r="K565" s="25"/>
      <c r="L565" s="25"/>
      <c r="M565" s="25"/>
      <c r="N565" s="25"/>
      <c r="O565" s="25"/>
      <c r="P565" s="25"/>
    </row>
    <row r="566" spans="1:28" ht="15" x14ac:dyDescent="0.25">
      <c r="B566" s="2" t="s">
        <v>236</v>
      </c>
      <c r="E566">
        <v>2030</v>
      </c>
      <c r="F566">
        <v>2035</v>
      </c>
      <c r="G566">
        <v>2050</v>
      </c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1:28" ht="15" x14ac:dyDescent="0.25">
      <c r="C567" s="2" t="s">
        <v>240</v>
      </c>
      <c r="D567" s="2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1:28" x14ac:dyDescent="0.2">
      <c r="C568" t="s">
        <v>239</v>
      </c>
      <c r="G568" s="10">
        <v>0.2</v>
      </c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1:28" x14ac:dyDescent="0.2">
      <c r="C569" t="s">
        <v>385</v>
      </c>
      <c r="G569" s="10">
        <v>0</v>
      </c>
      <c r="H569" s="25" t="s">
        <v>386</v>
      </c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1:28" ht="15" x14ac:dyDescent="0.25">
      <c r="C570" s="2" t="s">
        <v>243</v>
      </c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1:28" x14ac:dyDescent="0.2">
      <c r="C571" t="s">
        <v>239</v>
      </c>
      <c r="G571" s="10">
        <v>1</v>
      </c>
      <c r="H571" s="25" t="s">
        <v>255</v>
      </c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28" ht="15" x14ac:dyDescent="0.25">
      <c r="C572" s="2"/>
      <c r="G572" s="10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28" ht="15" x14ac:dyDescent="0.25">
      <c r="B573" s="2" t="s">
        <v>237</v>
      </c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28" ht="15" x14ac:dyDescent="0.25">
      <c r="B574" s="2"/>
      <c r="C574" s="2" t="s">
        <v>248</v>
      </c>
      <c r="D574" s="2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1:28" ht="15" x14ac:dyDescent="0.25">
      <c r="B575" s="2"/>
      <c r="C575" s="9" t="s">
        <v>249</v>
      </c>
      <c r="D575" s="9"/>
      <c r="G575" s="10">
        <v>0.2</v>
      </c>
      <c r="J575" s="25"/>
      <c r="K575" s="25"/>
      <c r="L575" s="25"/>
      <c r="M575" s="25"/>
      <c r="N575" s="25"/>
      <c r="O575" s="25"/>
      <c r="P575" s="25"/>
      <c r="Q575" s="25"/>
    </row>
    <row r="576" spans="1:28" ht="15" x14ac:dyDescent="0.25">
      <c r="B576" s="2"/>
      <c r="C576" s="9" t="s">
        <v>251</v>
      </c>
      <c r="D576" s="9"/>
      <c r="G576" s="10">
        <v>0.2</v>
      </c>
      <c r="J576" s="25"/>
      <c r="K576" s="25"/>
      <c r="L576" s="25"/>
      <c r="M576" s="25"/>
      <c r="N576" s="25"/>
      <c r="O576" s="25"/>
      <c r="P576" s="25"/>
      <c r="Q576" s="25"/>
    </row>
    <row r="577" spans="1:17" ht="15" x14ac:dyDescent="0.25">
      <c r="B577" s="2"/>
      <c r="C577" t="s">
        <v>385</v>
      </c>
      <c r="D577" s="9"/>
      <c r="G577" s="10">
        <v>0</v>
      </c>
      <c r="H577" t="s">
        <v>386</v>
      </c>
      <c r="J577" s="25"/>
      <c r="K577" s="25"/>
      <c r="L577" s="25"/>
      <c r="M577" s="25"/>
      <c r="N577" s="25"/>
      <c r="O577" s="25"/>
      <c r="P577" s="25"/>
      <c r="Q577" s="25"/>
    </row>
    <row r="578" spans="1:17" ht="15" x14ac:dyDescent="0.25">
      <c r="C578" s="2" t="s">
        <v>245</v>
      </c>
      <c r="D578" s="2"/>
      <c r="H578" s="25"/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1:17" x14ac:dyDescent="0.2">
      <c r="C579" s="9" t="s">
        <v>250</v>
      </c>
      <c r="G579" s="10">
        <v>0.4</v>
      </c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1:17" x14ac:dyDescent="0.2">
      <c r="C580" s="9" t="s">
        <v>252</v>
      </c>
      <c r="G580" s="10">
        <v>0.22</v>
      </c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ht="15" x14ac:dyDescent="0.25">
      <c r="B581" s="2" t="s">
        <v>238</v>
      </c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1:17" x14ac:dyDescent="0.2">
      <c r="C582" t="s">
        <v>239</v>
      </c>
      <c r="G582" s="10">
        <v>0.25</v>
      </c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x14ac:dyDescent="0.2"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1:17" ht="25.5" x14ac:dyDescent="0.35">
      <c r="A584" s="5" t="s">
        <v>242</v>
      </c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1:17" x14ac:dyDescent="0.2"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7" ht="15" x14ac:dyDescent="0.25">
      <c r="B586" s="2" t="s">
        <v>244</v>
      </c>
      <c r="E586">
        <v>2030</v>
      </c>
      <c r="F586">
        <v>2035</v>
      </c>
      <c r="G586">
        <v>2050</v>
      </c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1:17" ht="15" x14ac:dyDescent="0.25">
      <c r="C587" s="2" t="s">
        <v>241</v>
      </c>
      <c r="D587" s="2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x14ac:dyDescent="0.2">
      <c r="C588" s="9" t="s">
        <v>382</v>
      </c>
      <c r="D588" s="9"/>
      <c r="G588" s="10">
        <v>5</v>
      </c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1:17" x14ac:dyDescent="0.2">
      <c r="C589" s="9" t="s">
        <v>383</v>
      </c>
      <c r="D589" s="9"/>
      <c r="G589" s="10">
        <v>4</v>
      </c>
      <c r="H589" s="25" t="s">
        <v>381</v>
      </c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x14ac:dyDescent="0.2"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1:17" ht="15" x14ac:dyDescent="0.25">
      <c r="B591" s="2" t="s">
        <v>237</v>
      </c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ht="15" x14ac:dyDescent="0.25">
      <c r="B592" s="2"/>
      <c r="C592" s="2" t="s">
        <v>254</v>
      </c>
      <c r="D592" s="2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1:17" ht="15" x14ac:dyDescent="0.25">
      <c r="B593" s="2"/>
      <c r="C593" s="9" t="s">
        <v>247</v>
      </c>
      <c r="D593" s="9"/>
      <c r="G593" s="10">
        <v>0.4</v>
      </c>
      <c r="J593" s="25"/>
      <c r="K593" s="25"/>
      <c r="L593" s="25"/>
      <c r="M593" s="25"/>
      <c r="N593" s="25"/>
      <c r="O593" s="25"/>
      <c r="P593" s="25"/>
      <c r="Q593" s="25"/>
    </row>
    <row r="594" spans="1:17" ht="15" x14ac:dyDescent="0.25">
      <c r="B594" s="2"/>
      <c r="C594" s="9" t="s">
        <v>384</v>
      </c>
      <c r="D594" s="9"/>
      <c r="G594" s="10">
        <f>28%+14%</f>
        <v>0.42000000000000004</v>
      </c>
      <c r="J594" s="25"/>
      <c r="K594" s="25"/>
      <c r="L594" s="25"/>
      <c r="M594" s="25"/>
      <c r="N594" s="25"/>
      <c r="O594" s="25"/>
      <c r="P594" s="25"/>
      <c r="Q594" s="25"/>
    </row>
    <row r="595" spans="1:17" ht="15" x14ac:dyDescent="0.25">
      <c r="C595" s="2"/>
      <c r="G595" s="25"/>
      <c r="H595" s="25"/>
      <c r="I595" s="25"/>
      <c r="J595" s="25"/>
      <c r="K595" s="25"/>
      <c r="L595" s="25"/>
      <c r="M595" s="25"/>
      <c r="N595" s="25"/>
      <c r="O595" s="25"/>
      <c r="P595" s="25"/>
    </row>
    <row r="596" spans="1:17" ht="15" x14ac:dyDescent="0.25">
      <c r="B596" s="2" t="s">
        <v>246</v>
      </c>
      <c r="G596" s="25"/>
      <c r="H596" s="25"/>
      <c r="I596" s="25"/>
      <c r="J596" s="25"/>
      <c r="K596" s="25"/>
      <c r="L596" s="25"/>
      <c r="M596" s="25"/>
      <c r="N596" s="25"/>
      <c r="O596" s="25"/>
      <c r="P596" s="25"/>
    </row>
    <row r="597" spans="1:17" x14ac:dyDescent="0.2">
      <c r="C597" s="9" t="s">
        <v>239</v>
      </c>
      <c r="G597" s="35">
        <v>0.35</v>
      </c>
      <c r="H597" s="25"/>
      <c r="I597" s="25"/>
      <c r="J597" s="25"/>
      <c r="K597" s="25"/>
      <c r="L597" s="25"/>
      <c r="M597" s="25"/>
      <c r="N597" s="25"/>
      <c r="O597" s="25"/>
      <c r="P597" s="25"/>
    </row>
    <row r="598" spans="1:17" x14ac:dyDescent="0.2">
      <c r="C598" s="9"/>
      <c r="G598" s="35"/>
      <c r="H598" s="25"/>
      <c r="I598" s="25"/>
      <c r="J598" s="25"/>
      <c r="K598" s="25"/>
      <c r="L598" s="25"/>
      <c r="M598" s="25"/>
      <c r="N598" s="25"/>
      <c r="O598" s="25"/>
      <c r="P598" s="25"/>
    </row>
    <row r="599" spans="1:17" x14ac:dyDescent="0.2">
      <c r="C599" s="9"/>
      <c r="G599" s="35"/>
      <c r="H599" s="25"/>
      <c r="I599" s="25"/>
      <c r="J599" s="25"/>
      <c r="K599" s="25"/>
      <c r="L599" s="25"/>
      <c r="M599" s="25"/>
      <c r="N599" s="25"/>
      <c r="O599" s="25"/>
      <c r="P599" s="25"/>
    </row>
    <row r="600" spans="1:17" x14ac:dyDescent="0.2">
      <c r="C600" s="9"/>
      <c r="G600" s="35"/>
      <c r="H600" s="25"/>
      <c r="I600" s="25"/>
      <c r="J600" s="25"/>
      <c r="K600" s="25"/>
      <c r="L600" s="25"/>
      <c r="M600" s="25"/>
      <c r="N600" s="25"/>
      <c r="O600" s="25"/>
      <c r="P600" s="25"/>
    </row>
    <row r="602" spans="1:17" ht="27" x14ac:dyDescent="0.35">
      <c r="A602" s="3" t="s">
        <v>1380</v>
      </c>
    </row>
    <row r="603" spans="1:17" ht="15" x14ac:dyDescent="0.25">
      <c r="B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7" ht="15" x14ac:dyDescent="0.25">
      <c r="B604" s="2" t="s">
        <v>530</v>
      </c>
      <c r="E604" s="2"/>
      <c r="F604" s="2"/>
      <c r="G604" s="2"/>
      <c r="H604" s="2"/>
      <c r="I604" s="2"/>
      <c r="J604" s="2"/>
      <c r="K604" s="2"/>
      <c r="L604" s="2"/>
      <c r="M604" s="2"/>
    </row>
    <row r="605" spans="1:17" ht="15" x14ac:dyDescent="0.25">
      <c r="C605" s="13" t="s">
        <v>527</v>
      </c>
      <c r="E605" s="2">
        <v>2010</v>
      </c>
      <c r="F605" s="2">
        <v>2015</v>
      </c>
      <c r="G605" s="2">
        <v>2020</v>
      </c>
      <c r="H605" s="2">
        <v>2025</v>
      </c>
      <c r="I605" s="2">
        <v>2030</v>
      </c>
      <c r="J605" s="2">
        <v>2035</v>
      </c>
      <c r="K605" s="2">
        <v>2040</v>
      </c>
      <c r="L605" s="2">
        <v>2045</v>
      </c>
      <c r="M605" s="2">
        <v>2050</v>
      </c>
    </row>
    <row r="606" spans="1:17" x14ac:dyDescent="0.2">
      <c r="C606" s="9" t="s">
        <v>529</v>
      </c>
      <c r="D606">
        <v>1.29E-2</v>
      </c>
      <c r="E606" s="35">
        <v>1</v>
      </c>
      <c r="F606" s="44">
        <f t="shared" ref="F606:M607" si="476">E606*(1+$D606)^5</f>
        <v>1.0661857057086706</v>
      </c>
      <c r="G606" s="44">
        <f t="shared" si="476"/>
        <v>1.1367519590574959</v>
      </c>
      <c r="H606" s="44">
        <f t="shared" si="476"/>
        <v>1.21198868968343</v>
      </c>
      <c r="I606" s="44">
        <f t="shared" si="476"/>
        <v>1.2922050164210548</v>
      </c>
      <c r="J606" s="44">
        <f t="shared" si="476"/>
        <v>1.3777305173531664</v>
      </c>
      <c r="K606" s="44">
        <f t="shared" si="476"/>
        <v>1.4689165839205576</v>
      </c>
      <c r="L606" s="44">
        <f t="shared" si="476"/>
        <v>1.5661378646545092</v>
      </c>
      <c r="M606" s="44">
        <f t="shared" si="476"/>
        <v>1.6697938044637384</v>
      </c>
    </row>
    <row r="607" spans="1:17" x14ac:dyDescent="0.2">
      <c r="C607" s="9" t="s">
        <v>528</v>
      </c>
      <c r="D607">
        <v>1.24E-2</v>
      </c>
      <c r="E607" s="35">
        <v>1</v>
      </c>
      <c r="F607" s="44">
        <f t="shared" si="476"/>
        <v>1.0635567847438501</v>
      </c>
      <c r="G607" s="44">
        <f t="shared" si="476"/>
        <v>1.1311530343746763</v>
      </c>
      <c r="H607" s="44">
        <f t="shared" si="476"/>
        <v>1.2030454842927805</v>
      </c>
      <c r="I607" s="44">
        <f t="shared" si="476"/>
        <v>1.2795071871750376</v>
      </c>
      <c r="J607" s="44">
        <f t="shared" si="476"/>
        <v>1.3608285500485306</v>
      </c>
      <c r="K607" s="44">
        <f t="shared" si="476"/>
        <v>1.4473184372772507</v>
      </c>
      <c r="L607" s="44">
        <f t="shared" si="476"/>
        <v>1.5393053436510864</v>
      </c>
      <c r="M607" s="44">
        <f t="shared" si="476"/>
        <v>1.6371386420325766</v>
      </c>
      <c r="N607" s="1"/>
    </row>
    <row r="608" spans="1:17" x14ac:dyDescent="0.2">
      <c r="C608" s="12"/>
      <c r="E608" s="35"/>
      <c r="F608" s="44"/>
      <c r="G608" s="44"/>
      <c r="H608" s="44"/>
      <c r="I608" s="44"/>
      <c r="J608" s="44"/>
      <c r="K608" s="44"/>
      <c r="L608" s="44"/>
      <c r="M608" s="44"/>
      <c r="N608" s="1"/>
    </row>
    <row r="609" spans="2:13" ht="15" x14ac:dyDescent="0.25">
      <c r="B609" s="2" t="s">
        <v>507</v>
      </c>
    </row>
    <row r="610" spans="2:13" x14ac:dyDescent="0.2">
      <c r="C610" t="s">
        <v>792</v>
      </c>
    </row>
    <row r="612" spans="2:13" ht="15" x14ac:dyDescent="0.25">
      <c r="B612" s="2" t="s">
        <v>544</v>
      </c>
    </row>
    <row r="613" spans="2:13" ht="15" x14ac:dyDescent="0.25">
      <c r="C613" s="13" t="s">
        <v>450</v>
      </c>
      <c r="E613" s="2">
        <v>2010</v>
      </c>
      <c r="F613" s="2">
        <v>2015</v>
      </c>
      <c r="G613" s="2">
        <v>2020</v>
      </c>
      <c r="H613" s="2">
        <v>2025</v>
      </c>
      <c r="I613" s="2">
        <v>2030</v>
      </c>
      <c r="J613" s="2">
        <v>2035</v>
      </c>
      <c r="K613" s="2">
        <v>2040</v>
      </c>
      <c r="L613" s="2">
        <v>2045</v>
      </c>
      <c r="M613" s="2">
        <v>2050</v>
      </c>
    </row>
    <row r="614" spans="2:13" x14ac:dyDescent="0.2">
      <c r="C614" t="s">
        <v>441</v>
      </c>
      <c r="E614">
        <v>34</v>
      </c>
      <c r="F614" s="21">
        <f>0.5*(E614+G614)</f>
        <v>36.5</v>
      </c>
      <c r="G614">
        <v>39</v>
      </c>
      <c r="H614" s="21">
        <f>2/3*G614+1/3*J614</f>
        <v>40.666666666666664</v>
      </c>
      <c r="I614" s="21">
        <f>1/3*G614+2/3*J614</f>
        <v>42.333333333333329</v>
      </c>
      <c r="J614">
        <v>44</v>
      </c>
      <c r="K614" s="21">
        <f>2/3*J614+1/3*M614</f>
        <v>45.666666666666664</v>
      </c>
      <c r="L614" s="21">
        <f>1/3*J614+2/3*M614</f>
        <v>47.333333333333329</v>
      </c>
      <c r="M614">
        <v>49</v>
      </c>
    </row>
    <row r="615" spans="2:13" x14ac:dyDescent="0.2">
      <c r="C615" s="22" t="s">
        <v>442</v>
      </c>
      <c r="D615" s="22"/>
      <c r="E615" s="22">
        <v>29</v>
      </c>
      <c r="F615" s="61">
        <f>0.5*(E615+G615)</f>
        <v>31.5</v>
      </c>
      <c r="G615" s="22">
        <v>34</v>
      </c>
      <c r="H615" s="61">
        <f>2/3*G615+1/3*J615</f>
        <v>35.333333333333329</v>
      </c>
      <c r="I615" s="61">
        <f>1/3*G615+2/3*J615</f>
        <v>36.666666666666664</v>
      </c>
      <c r="J615" s="22">
        <v>38</v>
      </c>
      <c r="K615" s="61">
        <f>2/3*J615+1/3*M615</f>
        <v>39.666666666666664</v>
      </c>
      <c r="L615" s="61">
        <f>1/3*J615+2/3*M615</f>
        <v>41.333333333333329</v>
      </c>
      <c r="M615" s="22">
        <v>43</v>
      </c>
    </row>
    <row r="616" spans="2:13" x14ac:dyDescent="0.2">
      <c r="C616" s="29" t="s">
        <v>443</v>
      </c>
      <c r="D616" s="29"/>
      <c r="E616" s="31">
        <f>SUM(E614:E615)</f>
        <v>63</v>
      </c>
      <c r="F616" s="31">
        <f t="shared" ref="F616:M616" si="477">SUM(F614:F615)</f>
        <v>68</v>
      </c>
      <c r="G616" s="31">
        <f t="shared" si="477"/>
        <v>73</v>
      </c>
      <c r="H616" s="33">
        <f t="shared" si="477"/>
        <v>76</v>
      </c>
      <c r="I616" s="33">
        <f t="shared" si="477"/>
        <v>79</v>
      </c>
      <c r="J616" s="31">
        <f t="shared" si="477"/>
        <v>82</v>
      </c>
      <c r="K616" s="33">
        <f t="shared" si="477"/>
        <v>85.333333333333329</v>
      </c>
      <c r="L616" s="33">
        <f t="shared" si="477"/>
        <v>88.666666666666657</v>
      </c>
      <c r="M616" s="31">
        <f t="shared" si="477"/>
        <v>92</v>
      </c>
    </row>
    <row r="617" spans="2:13" x14ac:dyDescent="0.2">
      <c r="C617" s="29"/>
      <c r="D617" s="29"/>
      <c r="E617" s="57"/>
      <c r="F617" s="57"/>
      <c r="G617" s="57"/>
      <c r="H617" s="63"/>
      <c r="I617" s="63"/>
      <c r="J617" s="57"/>
      <c r="K617" s="63"/>
      <c r="L617" s="63"/>
      <c r="M617" s="57"/>
    </row>
    <row r="618" spans="2:13" x14ac:dyDescent="0.2">
      <c r="C618" t="s">
        <v>444</v>
      </c>
      <c r="E618">
        <v>34</v>
      </c>
      <c r="F618" s="21">
        <f>0.5*(E618+G618)</f>
        <v>36</v>
      </c>
      <c r="G618">
        <v>38</v>
      </c>
      <c r="H618" s="21">
        <f>2/3*G618+1/3*J618</f>
        <v>39</v>
      </c>
      <c r="I618" s="21">
        <f>1/3*G618+2/3*J618</f>
        <v>40</v>
      </c>
      <c r="J618">
        <v>41</v>
      </c>
      <c r="K618" s="21">
        <f>2/3*J618+1/3*M618</f>
        <v>41.666666666666664</v>
      </c>
      <c r="L618" s="21">
        <f>1/3*J618+2/3*M618</f>
        <v>42.333333333333329</v>
      </c>
      <c r="M618">
        <v>43</v>
      </c>
    </row>
    <row r="619" spans="2:13" x14ac:dyDescent="0.2">
      <c r="C619" s="14" t="s">
        <v>445</v>
      </c>
      <c r="D619" s="14"/>
      <c r="E619" s="14">
        <v>29</v>
      </c>
      <c r="F619" s="61">
        <f>0.5*(E619+G619)</f>
        <v>30.5</v>
      </c>
      <c r="G619" s="14">
        <v>32</v>
      </c>
      <c r="H619" s="61">
        <f>2/3*G619+1/3*J619</f>
        <v>32.666666666666664</v>
      </c>
      <c r="I619" s="61">
        <f>1/3*G619+2/3*J619</f>
        <v>33.333333333333329</v>
      </c>
      <c r="J619" s="14">
        <v>34</v>
      </c>
      <c r="K619" s="61">
        <f>2/3*J619+1/3*M619</f>
        <v>34.666666666666664</v>
      </c>
      <c r="L619" s="61">
        <f>1/3*J619+2/3*M619</f>
        <v>35.333333333333329</v>
      </c>
      <c r="M619" s="14">
        <v>36</v>
      </c>
    </row>
    <row r="620" spans="2:13" x14ac:dyDescent="0.2">
      <c r="C620" s="58" t="s">
        <v>446</v>
      </c>
      <c r="D620" s="58"/>
      <c r="E620" s="31">
        <f>SUM(E618:E619)</f>
        <v>63</v>
      </c>
      <c r="F620" s="33">
        <f t="shared" ref="F620" si="478">SUM(F618:F619)</f>
        <v>66.5</v>
      </c>
      <c r="G620" s="31">
        <f t="shared" ref="G620" si="479">SUM(G618:G619)</f>
        <v>70</v>
      </c>
      <c r="H620" s="33">
        <f t="shared" ref="H620" si="480">SUM(H618:H619)</f>
        <v>71.666666666666657</v>
      </c>
      <c r="I620" s="33">
        <f t="shared" ref="I620" si="481">SUM(I618:I619)</f>
        <v>73.333333333333329</v>
      </c>
      <c r="J620" s="31">
        <f t="shared" ref="J620" si="482">SUM(J618:J619)</f>
        <v>75</v>
      </c>
      <c r="K620" s="33">
        <f t="shared" ref="K620" si="483">SUM(K618:K619)</f>
        <v>76.333333333333329</v>
      </c>
      <c r="L620" s="33">
        <f t="shared" ref="L620" si="484">SUM(L618:L619)</f>
        <v>77.666666666666657</v>
      </c>
      <c r="M620" s="31">
        <f t="shared" ref="M620" si="485">SUM(M618:M619)</f>
        <v>79</v>
      </c>
    </row>
    <row r="621" spans="2:13" x14ac:dyDescent="0.2">
      <c r="C621" s="55"/>
      <c r="D621" s="55"/>
      <c r="E621" s="56"/>
      <c r="F621" s="56"/>
      <c r="G621" s="56"/>
      <c r="H621" s="64"/>
      <c r="I621" s="64"/>
      <c r="J621" s="56"/>
      <c r="K621" s="64"/>
      <c r="L621" s="64"/>
      <c r="M621" s="56"/>
    </row>
    <row r="622" spans="2:13" x14ac:dyDescent="0.2">
      <c r="C622" t="s">
        <v>447</v>
      </c>
      <c r="E622">
        <v>34</v>
      </c>
      <c r="F622" s="21">
        <f>0.5*(E622+G622)</f>
        <v>35</v>
      </c>
      <c r="G622">
        <v>36</v>
      </c>
      <c r="H622" s="21">
        <f>2/3*G622+1/3*J622</f>
        <v>36</v>
      </c>
      <c r="I622" s="21">
        <f>1/3*G622+2/3*J622</f>
        <v>36</v>
      </c>
      <c r="J622">
        <v>36</v>
      </c>
      <c r="K622" s="21">
        <f>2/3*J622+1/3*M622</f>
        <v>36</v>
      </c>
      <c r="L622" s="21">
        <f>1/3*J622+2/3*M622</f>
        <v>36</v>
      </c>
      <c r="M622">
        <v>36</v>
      </c>
    </row>
    <row r="623" spans="2:13" x14ac:dyDescent="0.2">
      <c r="C623" s="14" t="s">
        <v>448</v>
      </c>
      <c r="D623" s="14"/>
      <c r="E623" s="14">
        <v>29</v>
      </c>
      <c r="F623" s="61">
        <f>0.5*(E623+G623)</f>
        <v>30</v>
      </c>
      <c r="G623" s="14">
        <v>31</v>
      </c>
      <c r="H623" s="61">
        <f>2/3*G623+1/3*J623</f>
        <v>30.666666666666664</v>
      </c>
      <c r="I623" s="61">
        <f>1/3*G623+2/3*J623</f>
        <v>30.333333333333332</v>
      </c>
      <c r="J623" s="14">
        <v>30</v>
      </c>
      <c r="K623" s="61">
        <f>2/3*J623+1/3*M623</f>
        <v>30</v>
      </c>
      <c r="L623" s="61">
        <f>1/3*J623+2/3*M623</f>
        <v>30</v>
      </c>
      <c r="M623" s="14">
        <v>30</v>
      </c>
    </row>
    <row r="624" spans="2:13" x14ac:dyDescent="0.2">
      <c r="C624" t="s">
        <v>449</v>
      </c>
      <c r="E624" s="20">
        <f>SUM(E622:E623)</f>
        <v>63</v>
      </c>
      <c r="F624" s="20">
        <f t="shared" ref="F624" si="486">SUM(F622:F623)</f>
        <v>65</v>
      </c>
      <c r="G624" s="20">
        <f t="shared" ref="G624" si="487">SUM(G622:G623)</f>
        <v>67</v>
      </c>
      <c r="H624" s="21">
        <f t="shared" ref="H624" si="488">SUM(H622:H623)</f>
        <v>66.666666666666657</v>
      </c>
      <c r="I624" s="21">
        <f t="shared" ref="I624" si="489">SUM(I622:I623)</f>
        <v>66.333333333333329</v>
      </c>
      <c r="J624" s="20">
        <f t="shared" ref="J624" si="490">SUM(J622:J623)</f>
        <v>66</v>
      </c>
      <c r="K624" s="21">
        <f t="shared" ref="K624" si="491">SUM(K622:K623)</f>
        <v>66</v>
      </c>
      <c r="L624" s="21">
        <f t="shared" ref="L624" si="492">SUM(L622:L623)</f>
        <v>66</v>
      </c>
      <c r="M624" s="20">
        <f t="shared" ref="M624" si="493">SUM(M622:M623)</f>
        <v>66</v>
      </c>
    </row>
    <row r="627" spans="2:14" ht="15" x14ac:dyDescent="0.25">
      <c r="B627" s="2" t="s">
        <v>488</v>
      </c>
    </row>
    <row r="628" spans="2:14" ht="15" x14ac:dyDescent="0.25">
      <c r="B628" s="2"/>
      <c r="C628" s="13" t="s">
        <v>128</v>
      </c>
      <c r="E628" s="2">
        <v>2010</v>
      </c>
      <c r="F628" s="2">
        <v>2015</v>
      </c>
      <c r="G628" s="2">
        <v>2020</v>
      </c>
      <c r="H628" s="2">
        <v>2025</v>
      </c>
      <c r="I628" s="2">
        <v>2030</v>
      </c>
      <c r="J628" s="2">
        <v>2035</v>
      </c>
      <c r="K628" s="2">
        <v>2040</v>
      </c>
      <c r="L628" s="2">
        <v>2045</v>
      </c>
      <c r="M628" s="2">
        <v>2050</v>
      </c>
    </row>
    <row r="629" spans="2:14" ht="15" x14ac:dyDescent="0.25">
      <c r="B629" s="2"/>
      <c r="C629" s="9" t="s">
        <v>457</v>
      </c>
      <c r="E629" s="2"/>
      <c r="F629" s="2"/>
      <c r="G629" s="2"/>
      <c r="H629" s="2"/>
      <c r="I629" s="2"/>
      <c r="J629" s="2"/>
      <c r="K629" s="2"/>
      <c r="L629" s="2"/>
      <c r="M629" s="9">
        <v>6</v>
      </c>
      <c r="N629" t="s">
        <v>458</v>
      </c>
    </row>
    <row r="630" spans="2:14" ht="15" x14ac:dyDescent="0.25">
      <c r="B630" s="2"/>
      <c r="C630" t="s">
        <v>471</v>
      </c>
      <c r="D630" s="9"/>
      <c r="E630" s="9"/>
      <c r="F630" s="9"/>
      <c r="G630" s="9">
        <v>2</v>
      </c>
      <c r="H630" s="19">
        <f>2/3*G630+1/3*J630</f>
        <v>3.333333333333333</v>
      </c>
      <c r="I630" s="19">
        <f>1/3*G630+2/3*J630</f>
        <v>4.666666666666667</v>
      </c>
      <c r="J630" s="9">
        <v>6</v>
      </c>
      <c r="K630" s="19">
        <f>2/3*J630+1/3*M630</f>
        <v>6</v>
      </c>
      <c r="L630" s="19">
        <f>1/3*J630+2/3*M630</f>
        <v>6</v>
      </c>
      <c r="M630" s="9">
        <v>6</v>
      </c>
    </row>
    <row r="631" spans="2:14" ht="15" x14ac:dyDescent="0.25">
      <c r="B631" s="2"/>
      <c r="C631" t="s">
        <v>469</v>
      </c>
      <c r="G631">
        <v>1.5</v>
      </c>
      <c r="H631" s="19">
        <f t="shared" ref="H631:H654" si="494">2/3*G631+1/3*J631</f>
        <v>2.333333333333333</v>
      </c>
      <c r="I631" s="19">
        <f t="shared" ref="I631:I654" si="495">1/3*G631+2/3*J631</f>
        <v>3.1666666666666665</v>
      </c>
      <c r="J631">
        <v>4</v>
      </c>
      <c r="K631" s="19">
        <f t="shared" ref="K631:K654" si="496">2/3*J631+1/3*M631</f>
        <v>4</v>
      </c>
      <c r="L631" s="19">
        <f t="shared" ref="L631:L654" si="497">1/3*J631+2/3*M631</f>
        <v>4</v>
      </c>
      <c r="M631">
        <v>4</v>
      </c>
      <c r="N631" t="s">
        <v>459</v>
      </c>
    </row>
    <row r="632" spans="2:14" ht="15" x14ac:dyDescent="0.25">
      <c r="B632" s="2"/>
      <c r="C632" t="s">
        <v>484</v>
      </c>
      <c r="G632" s="19">
        <f>0.5*G631</f>
        <v>0.75</v>
      </c>
      <c r="H632" s="21">
        <f t="shared" ref="H632:L632" si="498">0.5*H631</f>
        <v>1.1666666666666665</v>
      </c>
      <c r="I632" s="21">
        <f t="shared" si="498"/>
        <v>1.5833333333333333</v>
      </c>
      <c r="J632" s="21">
        <f t="shared" si="498"/>
        <v>2</v>
      </c>
      <c r="K632" s="21">
        <f t="shared" si="498"/>
        <v>2</v>
      </c>
      <c r="L632" s="21">
        <f t="shared" si="498"/>
        <v>2</v>
      </c>
      <c r="M632">
        <v>2</v>
      </c>
    </row>
    <row r="633" spans="2:14" ht="15" x14ac:dyDescent="0.25">
      <c r="B633" s="2"/>
      <c r="C633" t="s">
        <v>485</v>
      </c>
      <c r="G633" s="19">
        <f>0.5*G631</f>
        <v>0.75</v>
      </c>
      <c r="H633" s="21">
        <f t="shared" ref="H633:L633" si="499">0.5*H631</f>
        <v>1.1666666666666665</v>
      </c>
      <c r="I633" s="21">
        <f t="shared" si="499"/>
        <v>1.5833333333333333</v>
      </c>
      <c r="J633" s="21">
        <f t="shared" si="499"/>
        <v>2</v>
      </c>
      <c r="K633" s="21">
        <f t="shared" si="499"/>
        <v>2</v>
      </c>
      <c r="L633" s="21">
        <f t="shared" si="499"/>
        <v>2</v>
      </c>
      <c r="M633">
        <v>2</v>
      </c>
    </row>
    <row r="634" spans="2:14" ht="15" x14ac:dyDescent="0.25">
      <c r="B634" s="2"/>
      <c r="C634" t="s">
        <v>476</v>
      </c>
      <c r="G634">
        <v>1</v>
      </c>
      <c r="H634" s="19">
        <f t="shared" si="494"/>
        <v>0.66666666666666663</v>
      </c>
      <c r="I634" s="19">
        <f t="shared" si="495"/>
        <v>0.33333333333333331</v>
      </c>
      <c r="J634">
        <v>0</v>
      </c>
      <c r="K634" s="19">
        <f t="shared" si="496"/>
        <v>0</v>
      </c>
      <c r="L634" s="19">
        <f t="shared" si="497"/>
        <v>0</v>
      </c>
      <c r="M634">
        <v>0</v>
      </c>
    </row>
    <row r="635" spans="2:14" ht="15" x14ac:dyDescent="0.25">
      <c r="B635" s="2"/>
      <c r="C635" t="s">
        <v>472</v>
      </c>
      <c r="G635">
        <v>1.8</v>
      </c>
      <c r="H635" s="19">
        <f t="shared" si="494"/>
        <v>3.8666666666666663</v>
      </c>
      <c r="I635" s="19">
        <f t="shared" si="495"/>
        <v>5.9333333333333327</v>
      </c>
      <c r="J635">
        <v>8</v>
      </c>
      <c r="K635" s="19">
        <f t="shared" si="496"/>
        <v>12</v>
      </c>
      <c r="L635" s="19">
        <f t="shared" si="497"/>
        <v>15.999999999999998</v>
      </c>
      <c r="M635">
        <v>20</v>
      </c>
    </row>
    <row r="636" spans="2:14" ht="15" x14ac:dyDescent="0.25">
      <c r="B636" s="2"/>
      <c r="C636" t="s">
        <v>453</v>
      </c>
      <c r="G636">
        <v>1.4</v>
      </c>
      <c r="H636" s="19">
        <f t="shared" si="494"/>
        <v>2.9333333333333331</v>
      </c>
      <c r="I636" s="19">
        <f t="shared" si="495"/>
        <v>4.4666666666666668</v>
      </c>
      <c r="J636">
        <v>6</v>
      </c>
      <c r="K636" s="19">
        <f t="shared" si="496"/>
        <v>8.6666666666666661</v>
      </c>
      <c r="L636" s="19">
        <f t="shared" si="497"/>
        <v>11.333333333333332</v>
      </c>
      <c r="M636">
        <v>14</v>
      </c>
      <c r="N636" t="s">
        <v>464</v>
      </c>
    </row>
    <row r="637" spans="2:14" ht="15" x14ac:dyDescent="0.25">
      <c r="B637" s="2"/>
      <c r="C637" t="s">
        <v>489</v>
      </c>
      <c r="G637" s="21">
        <f>0.3*G636</f>
        <v>0.42</v>
      </c>
      <c r="H637" s="21">
        <f t="shared" ref="H637:M637" si="500">0.3*H636</f>
        <v>0.87999999999999989</v>
      </c>
      <c r="I637" s="21">
        <f t="shared" si="500"/>
        <v>1.34</v>
      </c>
      <c r="J637" s="21">
        <f t="shared" si="500"/>
        <v>1.7999999999999998</v>
      </c>
      <c r="K637" s="21">
        <f t="shared" si="500"/>
        <v>2.5999999999999996</v>
      </c>
      <c r="L637" s="21">
        <f t="shared" si="500"/>
        <v>3.3999999999999995</v>
      </c>
      <c r="M637" s="21">
        <f t="shared" si="500"/>
        <v>4.2</v>
      </c>
      <c r="N637" t="s">
        <v>491</v>
      </c>
    </row>
    <row r="638" spans="2:14" ht="15" x14ac:dyDescent="0.25">
      <c r="B638" s="2"/>
      <c r="C638" t="s">
        <v>490</v>
      </c>
      <c r="G638" s="21">
        <f>0.7*G636</f>
        <v>0.97999999999999987</v>
      </c>
      <c r="H638" s="21">
        <f t="shared" ref="H638:M638" si="501">0.7*H636</f>
        <v>2.0533333333333332</v>
      </c>
      <c r="I638" s="21">
        <f t="shared" si="501"/>
        <v>3.1266666666666665</v>
      </c>
      <c r="J638" s="21">
        <f t="shared" si="501"/>
        <v>4.1999999999999993</v>
      </c>
      <c r="K638" s="21">
        <f t="shared" si="501"/>
        <v>6.0666666666666655</v>
      </c>
      <c r="L638" s="21">
        <f t="shared" si="501"/>
        <v>7.9333333333333318</v>
      </c>
      <c r="M638" s="21">
        <f t="shared" si="501"/>
        <v>9.7999999999999989</v>
      </c>
      <c r="N638" t="s">
        <v>491</v>
      </c>
    </row>
    <row r="639" spans="2:14" ht="15" x14ac:dyDescent="0.25">
      <c r="B639" s="2"/>
      <c r="C639" t="s">
        <v>477</v>
      </c>
      <c r="G639">
        <v>1</v>
      </c>
      <c r="H639" s="19">
        <f t="shared" si="494"/>
        <v>2</v>
      </c>
      <c r="I639" s="19">
        <f t="shared" si="495"/>
        <v>3</v>
      </c>
      <c r="J639">
        <v>4</v>
      </c>
      <c r="K639" s="19">
        <f t="shared" si="496"/>
        <v>6</v>
      </c>
      <c r="L639" s="19">
        <f t="shared" si="497"/>
        <v>7.9999999999999991</v>
      </c>
      <c r="M639">
        <v>10</v>
      </c>
    </row>
    <row r="640" spans="2:14" ht="15" x14ac:dyDescent="0.25">
      <c r="B640" s="2"/>
      <c r="C640" t="s">
        <v>473</v>
      </c>
      <c r="G640">
        <v>0.7</v>
      </c>
      <c r="H640" s="19">
        <f t="shared" si="494"/>
        <v>1.4666666666666666</v>
      </c>
      <c r="I640" s="19">
        <f t="shared" si="495"/>
        <v>2.2333333333333334</v>
      </c>
      <c r="J640">
        <v>3</v>
      </c>
      <c r="K640" s="19">
        <f t="shared" si="496"/>
        <v>3.333333333333333</v>
      </c>
      <c r="L640" s="19">
        <f t="shared" si="497"/>
        <v>3.6666666666666665</v>
      </c>
      <c r="M640">
        <v>4</v>
      </c>
    </row>
    <row r="641" spans="2:14" ht="15" x14ac:dyDescent="0.25">
      <c r="B641" s="2"/>
      <c r="C641" t="s">
        <v>454</v>
      </c>
      <c r="G641">
        <v>0.6</v>
      </c>
      <c r="H641" s="19">
        <f t="shared" si="494"/>
        <v>1.2333333333333332</v>
      </c>
      <c r="I641" s="19">
        <f t="shared" si="495"/>
        <v>1.8666666666666665</v>
      </c>
      <c r="J641">
        <v>2.5</v>
      </c>
      <c r="K641" s="19">
        <f t="shared" si="496"/>
        <v>2.6666666666666665</v>
      </c>
      <c r="L641" s="19">
        <f t="shared" si="497"/>
        <v>2.833333333333333</v>
      </c>
      <c r="M641">
        <v>3</v>
      </c>
    </row>
    <row r="642" spans="2:14" ht="15" x14ac:dyDescent="0.25">
      <c r="B642" s="2"/>
      <c r="C642" t="s">
        <v>486</v>
      </c>
      <c r="G642" s="21">
        <f>2/3*G641</f>
        <v>0.39999999999999997</v>
      </c>
      <c r="H642" s="21">
        <f t="shared" ref="H642:M642" si="502">2/3*H641</f>
        <v>0.82222222222222208</v>
      </c>
      <c r="I642" s="21">
        <f t="shared" si="502"/>
        <v>1.2444444444444442</v>
      </c>
      <c r="J642" s="21">
        <f t="shared" si="502"/>
        <v>1.6666666666666665</v>
      </c>
      <c r="K642" s="21">
        <f t="shared" si="502"/>
        <v>1.7777777777777777</v>
      </c>
      <c r="L642" s="21">
        <f t="shared" si="502"/>
        <v>1.8888888888888886</v>
      </c>
      <c r="M642" s="21">
        <f t="shared" si="502"/>
        <v>2</v>
      </c>
      <c r="N642" t="s">
        <v>491</v>
      </c>
    </row>
    <row r="643" spans="2:14" ht="15" x14ac:dyDescent="0.25">
      <c r="B643" s="2"/>
      <c r="C643" t="s">
        <v>487</v>
      </c>
      <c r="G643" s="21">
        <f>1/3*G641</f>
        <v>0.19999999999999998</v>
      </c>
      <c r="H643" s="21">
        <f t="shared" ref="H643:M643" si="503">1/3*H641</f>
        <v>0.41111111111111104</v>
      </c>
      <c r="I643" s="21">
        <f t="shared" si="503"/>
        <v>0.62222222222222212</v>
      </c>
      <c r="J643" s="21">
        <f t="shared" si="503"/>
        <v>0.83333333333333326</v>
      </c>
      <c r="K643" s="21">
        <f t="shared" si="503"/>
        <v>0.88888888888888884</v>
      </c>
      <c r="L643" s="21">
        <f t="shared" si="503"/>
        <v>0.94444444444444431</v>
      </c>
      <c r="M643" s="21">
        <f t="shared" si="503"/>
        <v>1</v>
      </c>
      <c r="N643" t="s">
        <v>491</v>
      </c>
    </row>
    <row r="644" spans="2:14" ht="15" x14ac:dyDescent="0.25">
      <c r="B644" s="2"/>
      <c r="C644" t="s">
        <v>478</v>
      </c>
      <c r="G644">
        <v>0.5</v>
      </c>
      <c r="H644" s="19">
        <f t="shared" si="494"/>
        <v>1</v>
      </c>
      <c r="I644" s="19">
        <f t="shared" si="495"/>
        <v>1.5</v>
      </c>
      <c r="J644">
        <v>2</v>
      </c>
      <c r="K644" s="19">
        <f t="shared" si="496"/>
        <v>2</v>
      </c>
      <c r="L644" s="19">
        <f t="shared" si="497"/>
        <v>2</v>
      </c>
      <c r="M644">
        <v>2</v>
      </c>
    </row>
    <row r="645" spans="2:14" ht="15" x14ac:dyDescent="0.25">
      <c r="B645" s="2"/>
      <c r="C645" t="s">
        <v>474</v>
      </c>
      <c r="G645">
        <v>0</v>
      </c>
      <c r="H645" s="19">
        <f t="shared" si="494"/>
        <v>0.66666666666666663</v>
      </c>
      <c r="I645" s="19">
        <f t="shared" si="495"/>
        <v>1.3333333333333333</v>
      </c>
      <c r="J645">
        <v>2</v>
      </c>
      <c r="K645" s="19">
        <f t="shared" si="496"/>
        <v>4</v>
      </c>
      <c r="L645" s="19">
        <f t="shared" si="497"/>
        <v>6</v>
      </c>
      <c r="M645">
        <v>8</v>
      </c>
    </row>
    <row r="646" spans="2:14" ht="15" x14ac:dyDescent="0.25">
      <c r="B646" s="2"/>
      <c r="C646" t="s">
        <v>455</v>
      </c>
      <c r="G646">
        <v>0</v>
      </c>
      <c r="H646" s="19">
        <f t="shared" si="494"/>
        <v>0.53333333333333333</v>
      </c>
      <c r="I646" s="19">
        <f t="shared" si="495"/>
        <v>1.0666666666666667</v>
      </c>
      <c r="J646">
        <v>1.6</v>
      </c>
      <c r="K646" s="19">
        <f t="shared" si="496"/>
        <v>2.4</v>
      </c>
      <c r="L646" s="19">
        <f t="shared" si="497"/>
        <v>3.1999999999999997</v>
      </c>
      <c r="M646">
        <v>4</v>
      </c>
    </row>
    <row r="647" spans="2:14" ht="15" x14ac:dyDescent="0.25">
      <c r="B647" s="2"/>
      <c r="C647" t="s">
        <v>508</v>
      </c>
      <c r="G647" s="19">
        <f>1*G646</f>
        <v>0</v>
      </c>
      <c r="H647" s="19">
        <f t="shared" ref="H647:L647" si="504">1*H646</f>
        <v>0.53333333333333333</v>
      </c>
      <c r="I647" s="19">
        <f t="shared" si="504"/>
        <v>1.0666666666666667</v>
      </c>
      <c r="J647" s="19">
        <f t="shared" si="504"/>
        <v>1.6</v>
      </c>
      <c r="K647" s="19">
        <f t="shared" si="504"/>
        <v>2.4</v>
      </c>
      <c r="L647" s="19">
        <f t="shared" si="504"/>
        <v>3.1999999999999997</v>
      </c>
      <c r="M647">
        <v>4</v>
      </c>
      <c r="N647" t="s">
        <v>491</v>
      </c>
    </row>
    <row r="648" spans="2:14" ht="15" x14ac:dyDescent="0.25">
      <c r="B648" s="2"/>
      <c r="C648" t="s">
        <v>509</v>
      </c>
      <c r="G648" s="21">
        <f>0*G646</f>
        <v>0</v>
      </c>
      <c r="H648" s="21">
        <f t="shared" ref="H648:L648" si="505">0*H646</f>
        <v>0</v>
      </c>
      <c r="I648" s="21">
        <f t="shared" si="505"/>
        <v>0</v>
      </c>
      <c r="J648" s="21">
        <f t="shared" si="505"/>
        <v>0</v>
      </c>
      <c r="K648" s="21">
        <f t="shared" si="505"/>
        <v>0</v>
      </c>
      <c r="L648" s="21">
        <f t="shared" si="505"/>
        <v>0</v>
      </c>
      <c r="M648">
        <v>0</v>
      </c>
      <c r="N648" t="s">
        <v>491</v>
      </c>
    </row>
    <row r="649" spans="2:14" ht="15" x14ac:dyDescent="0.25">
      <c r="B649" s="2"/>
      <c r="C649" t="s">
        <v>479</v>
      </c>
      <c r="G649">
        <v>0</v>
      </c>
      <c r="H649" s="19">
        <f t="shared" si="494"/>
        <v>0.33333333333333331</v>
      </c>
      <c r="I649" s="19">
        <f t="shared" si="495"/>
        <v>0.66666666666666663</v>
      </c>
      <c r="J649">
        <v>1</v>
      </c>
      <c r="K649" s="19">
        <f t="shared" si="496"/>
        <v>0.66666666666666663</v>
      </c>
      <c r="L649" s="19">
        <f t="shared" si="497"/>
        <v>0.33333333333333331</v>
      </c>
      <c r="M649">
        <v>0</v>
      </c>
    </row>
    <row r="650" spans="2:14" ht="15" x14ac:dyDescent="0.25">
      <c r="B650" s="2"/>
      <c r="C650" t="s">
        <v>475</v>
      </c>
      <c r="G650">
        <v>2</v>
      </c>
      <c r="H650" s="19">
        <f t="shared" si="494"/>
        <v>3.6666666666666661</v>
      </c>
      <c r="I650" s="19">
        <f t="shared" si="495"/>
        <v>5.333333333333333</v>
      </c>
      <c r="J650">
        <v>7</v>
      </c>
      <c r="K650" s="19">
        <f t="shared" si="496"/>
        <v>7.3333333333333321</v>
      </c>
      <c r="L650" s="19">
        <f t="shared" si="497"/>
        <v>7.6666666666666661</v>
      </c>
      <c r="M650">
        <v>8</v>
      </c>
    </row>
    <row r="651" spans="2:14" ht="15" x14ac:dyDescent="0.25">
      <c r="B651" s="2"/>
      <c r="C651" t="s">
        <v>470</v>
      </c>
      <c r="G651">
        <v>1.5</v>
      </c>
      <c r="H651" s="19">
        <f t="shared" si="494"/>
        <v>2.833333333333333</v>
      </c>
      <c r="I651" s="19">
        <f t="shared" si="495"/>
        <v>4.1666666666666661</v>
      </c>
      <c r="J651">
        <v>5.5</v>
      </c>
      <c r="K651" s="19">
        <f t="shared" si="496"/>
        <v>5.6666666666666661</v>
      </c>
      <c r="L651" s="19">
        <f t="shared" si="497"/>
        <v>5.833333333333333</v>
      </c>
      <c r="M651">
        <v>6</v>
      </c>
    </row>
    <row r="652" spans="2:14" ht="15" x14ac:dyDescent="0.25">
      <c r="B652" s="2"/>
      <c r="C652" t="s">
        <v>492</v>
      </c>
      <c r="G652" s="19">
        <f t="shared" ref="G652:K652" si="506">5/6*G651</f>
        <v>1.25</v>
      </c>
      <c r="H652" s="19">
        <f t="shared" si="506"/>
        <v>2.3611111111111112</v>
      </c>
      <c r="I652" s="19">
        <f t="shared" si="506"/>
        <v>3.4722222222222219</v>
      </c>
      <c r="J652" s="19">
        <f t="shared" si="506"/>
        <v>4.5833333333333339</v>
      </c>
      <c r="K652" s="19">
        <f t="shared" si="506"/>
        <v>4.7222222222222223</v>
      </c>
      <c r="L652" s="19">
        <f>5/6*L651</f>
        <v>4.8611111111111107</v>
      </c>
      <c r="M652">
        <v>5</v>
      </c>
    </row>
    <row r="653" spans="2:14" ht="15" x14ac:dyDescent="0.25">
      <c r="B653" s="2"/>
      <c r="C653" t="s">
        <v>493</v>
      </c>
      <c r="G653" s="19">
        <f t="shared" ref="G653:K653" si="507">1/6*G651</f>
        <v>0.25</v>
      </c>
      <c r="H653" s="19">
        <f t="shared" si="507"/>
        <v>0.47222222222222215</v>
      </c>
      <c r="I653" s="19">
        <f t="shared" si="507"/>
        <v>0.69444444444444431</v>
      </c>
      <c r="J653" s="19">
        <f t="shared" si="507"/>
        <v>0.91666666666666663</v>
      </c>
      <c r="K653" s="19">
        <f t="shared" si="507"/>
        <v>0.94444444444444431</v>
      </c>
      <c r="L653" s="19">
        <f>1/6*L651</f>
        <v>0.9722222222222221</v>
      </c>
      <c r="M653">
        <v>1</v>
      </c>
    </row>
    <row r="654" spans="2:14" ht="15" x14ac:dyDescent="0.25">
      <c r="B654" s="2"/>
      <c r="C654" t="s">
        <v>480</v>
      </c>
      <c r="G654">
        <v>1</v>
      </c>
      <c r="H654" s="19">
        <f t="shared" si="494"/>
        <v>2</v>
      </c>
      <c r="I654" s="19">
        <f t="shared" si="495"/>
        <v>3</v>
      </c>
      <c r="J654">
        <v>4</v>
      </c>
      <c r="K654" s="19">
        <f t="shared" si="496"/>
        <v>4.333333333333333</v>
      </c>
      <c r="L654" s="19">
        <f t="shared" si="497"/>
        <v>4.6666666666666661</v>
      </c>
      <c r="M654">
        <v>5</v>
      </c>
    </row>
    <row r="655" spans="2:14" ht="15" x14ac:dyDescent="0.25">
      <c r="B655" s="2"/>
    </row>
    <row r="656" spans="2:14" ht="15" x14ac:dyDescent="0.25">
      <c r="B656" s="2"/>
      <c r="C656" t="s">
        <v>506</v>
      </c>
      <c r="G656" s="20">
        <f>G631+G636+G641+G646+G651</f>
        <v>5</v>
      </c>
      <c r="H656" s="19">
        <f t="shared" ref="H656:M656" si="508">H631+H636+H641+H646+H651</f>
        <v>9.8666666666666654</v>
      </c>
      <c r="I656" s="19">
        <f t="shared" si="508"/>
        <v>14.733333333333333</v>
      </c>
      <c r="J656" s="20">
        <f t="shared" si="508"/>
        <v>19.600000000000001</v>
      </c>
      <c r="K656" s="20">
        <f t="shared" si="508"/>
        <v>23.4</v>
      </c>
      <c r="L656" s="20">
        <f t="shared" si="508"/>
        <v>27.199999999999996</v>
      </c>
      <c r="M656" s="20">
        <f t="shared" si="508"/>
        <v>31</v>
      </c>
    </row>
    <row r="657" spans="2:13" ht="15" x14ac:dyDescent="0.25">
      <c r="B657" s="2"/>
    </row>
    <row r="658" spans="2:13" ht="15" x14ac:dyDescent="0.25">
      <c r="B658" s="2" t="s">
        <v>505</v>
      </c>
    </row>
    <row r="659" spans="2:13" ht="15" x14ac:dyDescent="0.25">
      <c r="B659" s="2"/>
      <c r="C659" s="13" t="s">
        <v>128</v>
      </c>
    </row>
    <row r="660" spans="2:13" ht="15" x14ac:dyDescent="0.25">
      <c r="B660" s="2"/>
      <c r="C660" t="s">
        <v>451</v>
      </c>
      <c r="G660">
        <v>14</v>
      </c>
      <c r="H660">
        <v>10</v>
      </c>
      <c r="I660" s="31">
        <f>0.5*(H660+J660)</f>
        <v>7.5</v>
      </c>
      <c r="J660">
        <v>5</v>
      </c>
      <c r="K660" s="19">
        <f t="shared" ref="K660" si="509">2/3*J660+1/3*M660</f>
        <v>3.333333333333333</v>
      </c>
      <c r="L660" s="19">
        <f t="shared" ref="L660" si="510">1/3*J660+2/3*M660</f>
        <v>1.6666666666666665</v>
      </c>
      <c r="M660">
        <v>0</v>
      </c>
    </row>
    <row r="661" spans="2:13" ht="15" x14ac:dyDescent="0.25">
      <c r="B661" s="2"/>
      <c r="C661" s="59" t="s">
        <v>466</v>
      </c>
      <c r="D661" s="29"/>
      <c r="E661" s="29"/>
      <c r="F661" s="29"/>
      <c r="G661" s="29">
        <v>2</v>
      </c>
      <c r="H661" s="29">
        <v>3</v>
      </c>
      <c r="I661" s="31">
        <f>0.5*(H661+J661)</f>
        <v>3</v>
      </c>
      <c r="J661" s="29">
        <v>3</v>
      </c>
      <c r="K661" s="20">
        <f t="shared" ref="K661" si="511">2/3*J661+1/3*M661</f>
        <v>3</v>
      </c>
      <c r="L661" s="20">
        <f t="shared" ref="L661" si="512">1/3*J661+2/3*M661</f>
        <v>3</v>
      </c>
      <c r="M661" s="29">
        <v>3</v>
      </c>
    </row>
    <row r="662" spans="2:13" ht="15" x14ac:dyDescent="0.25">
      <c r="B662" s="2"/>
      <c r="C662" s="59" t="s">
        <v>482</v>
      </c>
      <c r="D662" s="29"/>
      <c r="E662" s="29"/>
      <c r="F662" s="29"/>
      <c r="G662" s="29">
        <v>14</v>
      </c>
      <c r="H662" s="21">
        <f t="shared" ref="H662" si="513">2/3*G662+1/3*J662</f>
        <v>14.333333333333332</v>
      </c>
      <c r="I662" s="21">
        <f t="shared" ref="I662" si="514">1/3*G662+2/3*J662</f>
        <v>14.666666666666666</v>
      </c>
      <c r="J662" s="29">
        <v>15</v>
      </c>
      <c r="K662" s="21">
        <f t="shared" ref="K662" si="515">2/3*J662+1/3*M662</f>
        <v>15.333333333333332</v>
      </c>
      <c r="L662" s="21">
        <f t="shared" ref="L662" si="516">1/3*J662+2/3*M662</f>
        <v>15.666666666666666</v>
      </c>
      <c r="M662" s="29">
        <v>16</v>
      </c>
    </row>
    <row r="663" spans="2:13" ht="15" x14ac:dyDescent="0.25">
      <c r="B663" s="2"/>
      <c r="C663" s="23" t="s">
        <v>484</v>
      </c>
      <c r="D663" s="21"/>
      <c r="E663" s="21"/>
      <c r="F663" s="21"/>
      <c r="G663" s="21">
        <f>G662+G632</f>
        <v>14.75</v>
      </c>
      <c r="H663" s="21">
        <f t="shared" ref="H663:M663" si="517">H662+H632</f>
        <v>15.499999999999998</v>
      </c>
      <c r="I663" s="21">
        <f t="shared" si="517"/>
        <v>16.25</v>
      </c>
      <c r="J663" s="21">
        <f t="shared" si="517"/>
        <v>17</v>
      </c>
      <c r="K663" s="21">
        <f t="shared" si="517"/>
        <v>17.333333333333332</v>
      </c>
      <c r="L663" s="21">
        <f t="shared" si="517"/>
        <v>17.666666666666664</v>
      </c>
      <c r="M663" s="21">
        <f t="shared" si="517"/>
        <v>18</v>
      </c>
    </row>
    <row r="664" spans="2:13" ht="15" x14ac:dyDescent="0.25">
      <c r="B664" s="2"/>
      <c r="C664" s="21" t="str">
        <f t="shared" ref="C664" si="518">C637</f>
        <v>PV, MITTEL, Winter</v>
      </c>
      <c r="D664" s="21"/>
      <c r="E664" s="21"/>
      <c r="F664" s="21"/>
      <c r="G664" s="21">
        <f>G637</f>
        <v>0.42</v>
      </c>
      <c r="H664" s="21">
        <f t="shared" ref="H664:M664" si="519">H637</f>
        <v>0.87999999999999989</v>
      </c>
      <c r="I664" s="21">
        <f t="shared" si="519"/>
        <v>1.34</v>
      </c>
      <c r="J664" s="21">
        <f t="shared" si="519"/>
        <v>1.7999999999999998</v>
      </c>
      <c r="K664" s="21">
        <f t="shared" si="519"/>
        <v>2.5999999999999996</v>
      </c>
      <c r="L664" s="21">
        <f t="shared" si="519"/>
        <v>3.3999999999999995</v>
      </c>
      <c r="M664" s="21">
        <f t="shared" si="519"/>
        <v>4.2</v>
      </c>
    </row>
    <row r="665" spans="2:13" ht="15" x14ac:dyDescent="0.25">
      <c r="B665" s="2"/>
      <c r="C665" s="21" t="str">
        <f t="shared" ref="C665" si="520">C642</f>
        <v>Wind, MITTEL, Winter</v>
      </c>
      <c r="D665" s="21"/>
      <c r="E665" s="21"/>
      <c r="F665" s="21"/>
      <c r="G665" s="21">
        <f>G642</f>
        <v>0.39999999999999997</v>
      </c>
      <c r="H665" s="21">
        <f t="shared" ref="H665:M665" si="521">H642</f>
        <v>0.82222222222222208</v>
      </c>
      <c r="I665" s="21">
        <f t="shared" si="521"/>
        <v>1.2444444444444442</v>
      </c>
      <c r="J665" s="21">
        <f t="shared" si="521"/>
        <v>1.6666666666666665</v>
      </c>
      <c r="K665" s="21">
        <f t="shared" si="521"/>
        <v>1.7777777777777777</v>
      </c>
      <c r="L665" s="21">
        <f t="shared" si="521"/>
        <v>1.8888888888888886</v>
      </c>
      <c r="M665" s="21">
        <f t="shared" si="521"/>
        <v>2</v>
      </c>
    </row>
    <row r="666" spans="2:13" ht="15" x14ac:dyDescent="0.25">
      <c r="B666" s="2"/>
      <c r="C666" s="21" t="str">
        <f t="shared" ref="C666" si="522">C647</f>
        <v>Geothermie,MITTEL, Winter</v>
      </c>
      <c r="D666" s="21"/>
      <c r="E666" s="21"/>
      <c r="F666" s="21"/>
      <c r="G666" s="21">
        <f>G647</f>
        <v>0</v>
      </c>
      <c r="H666" s="21">
        <f t="shared" ref="H666:M666" si="523">H647</f>
        <v>0.53333333333333333</v>
      </c>
      <c r="I666" s="21">
        <f t="shared" si="523"/>
        <v>1.0666666666666667</v>
      </c>
      <c r="J666" s="21">
        <f t="shared" si="523"/>
        <v>1.6</v>
      </c>
      <c r="K666" s="21">
        <f t="shared" si="523"/>
        <v>2.4</v>
      </c>
      <c r="L666" s="21">
        <f t="shared" si="523"/>
        <v>3.1999999999999997</v>
      </c>
      <c r="M666" s="21">
        <f t="shared" si="523"/>
        <v>4</v>
      </c>
    </row>
    <row r="667" spans="2:13" ht="15" x14ac:dyDescent="0.25">
      <c r="B667" s="2"/>
      <c r="C667" s="33" t="str">
        <f t="shared" ref="C667" si="524">C652</f>
        <v>Biomasse-WKK, MITTEL, Winter</v>
      </c>
      <c r="D667" s="33"/>
      <c r="E667" s="33"/>
      <c r="F667" s="33"/>
      <c r="G667" s="33">
        <f>G652</f>
        <v>1.25</v>
      </c>
      <c r="H667" s="33">
        <f t="shared" ref="H667:M667" si="525">H652</f>
        <v>2.3611111111111112</v>
      </c>
      <c r="I667" s="33">
        <f t="shared" si="525"/>
        <v>3.4722222222222219</v>
      </c>
      <c r="J667" s="33">
        <f t="shared" si="525"/>
        <v>4.5833333333333339</v>
      </c>
      <c r="K667" s="33">
        <f t="shared" si="525"/>
        <v>4.7222222222222223</v>
      </c>
      <c r="L667" s="33">
        <f t="shared" si="525"/>
        <v>4.8611111111111107</v>
      </c>
      <c r="M667" s="33">
        <f t="shared" si="525"/>
        <v>5</v>
      </c>
    </row>
    <row r="668" spans="2:13" ht="15" x14ac:dyDescent="0.25">
      <c r="B668" s="2"/>
      <c r="C668" s="62" t="s">
        <v>495</v>
      </c>
      <c r="D668" s="14"/>
      <c r="E668" s="14"/>
      <c r="F668" s="14"/>
      <c r="G668" s="61">
        <f>G618-SUM(G660:G667)+G662</f>
        <v>5.18</v>
      </c>
      <c r="H668" s="61">
        <f t="shared" ref="H668:L668" si="526">H618-SUM(H660:H667)+H662</f>
        <v>5.9033333333333324</v>
      </c>
      <c r="I668" s="61">
        <f t="shared" si="526"/>
        <v>6.1266666666666598</v>
      </c>
      <c r="J668" s="61">
        <f t="shared" si="526"/>
        <v>6.3500000000000014</v>
      </c>
      <c r="K668" s="61">
        <f t="shared" si="526"/>
        <v>6.4999999999999964</v>
      </c>
      <c r="L668" s="61">
        <f t="shared" si="526"/>
        <v>6.65</v>
      </c>
      <c r="M668" s="61">
        <f>M618-SUM(M660:M667)+M662</f>
        <v>6.7999999999999972</v>
      </c>
    </row>
    <row r="669" spans="2:13" ht="15" x14ac:dyDescent="0.25">
      <c r="B669" s="2"/>
      <c r="C669" s="21" t="s">
        <v>496</v>
      </c>
      <c r="D669" s="21"/>
      <c r="E669" s="21"/>
      <c r="F669" s="21"/>
      <c r="G669" s="21"/>
      <c r="H669" s="21"/>
      <c r="I669" s="21"/>
      <c r="J669" s="21"/>
      <c r="K669" s="21"/>
      <c r="L669" s="21"/>
      <c r="M669" s="21">
        <f t="shared" ref="M669" si="527">SUM(M663:M668)-M662</f>
        <v>24</v>
      </c>
    </row>
    <row r="670" spans="2:13" ht="15" x14ac:dyDescent="0.25">
      <c r="B670" s="2"/>
      <c r="C670" s="59"/>
      <c r="G670" s="21"/>
      <c r="H670" s="21"/>
      <c r="I670" s="21"/>
      <c r="J670" s="21"/>
      <c r="K670" s="21"/>
      <c r="L670" s="21"/>
      <c r="M670" s="21"/>
    </row>
    <row r="671" spans="2:13" ht="15" x14ac:dyDescent="0.25">
      <c r="B671" s="2" t="s">
        <v>504</v>
      </c>
    </row>
    <row r="672" spans="2:13" ht="15" x14ac:dyDescent="0.25">
      <c r="B672" s="2"/>
      <c r="C672" s="13" t="s">
        <v>128</v>
      </c>
    </row>
    <row r="673" spans="2:13" ht="15" x14ac:dyDescent="0.25">
      <c r="B673" s="2"/>
      <c r="C673" s="58" t="s">
        <v>452</v>
      </c>
      <c r="D673" s="58"/>
      <c r="E673" s="58"/>
      <c r="F673" s="58"/>
      <c r="G673" s="58">
        <v>11</v>
      </c>
      <c r="H673" s="58">
        <v>7</v>
      </c>
      <c r="I673" s="31">
        <f>0.5*(H673+J673)</f>
        <v>5.5</v>
      </c>
      <c r="J673" s="58">
        <v>4</v>
      </c>
      <c r="K673" s="19">
        <f t="shared" ref="K673" si="528">2/3*J673+1/3*M673</f>
        <v>2.6666666666666665</v>
      </c>
      <c r="L673" s="19">
        <f t="shared" ref="L673" si="529">1/3*J673+2/3*M673</f>
        <v>1.3333333333333333</v>
      </c>
      <c r="M673" s="58">
        <v>0</v>
      </c>
    </row>
    <row r="674" spans="2:13" ht="15" x14ac:dyDescent="0.25">
      <c r="B674" s="2"/>
      <c r="C674" s="59" t="s">
        <v>467</v>
      </c>
      <c r="D674" s="29"/>
      <c r="E674" s="29"/>
      <c r="F674" s="29"/>
      <c r="G674" s="29">
        <v>1</v>
      </c>
      <c r="H674" s="29">
        <v>0</v>
      </c>
      <c r="I674" s="31">
        <f>0.5*(H674+J674)</f>
        <v>0</v>
      </c>
      <c r="J674" s="29">
        <v>0</v>
      </c>
      <c r="K674" s="20">
        <f t="shared" ref="K674" si="530">2/3*J674+1/3*M674</f>
        <v>0</v>
      </c>
      <c r="L674" s="20">
        <f t="shared" ref="L674" si="531">1/3*J674+2/3*M674</f>
        <v>0</v>
      </c>
      <c r="M674" s="29">
        <v>0</v>
      </c>
    </row>
    <row r="675" spans="2:13" ht="15" x14ac:dyDescent="0.25">
      <c r="B675" s="2"/>
      <c r="C675" s="59" t="s">
        <v>483</v>
      </c>
      <c r="D675" s="29"/>
      <c r="E675" s="29"/>
      <c r="F675" s="29"/>
      <c r="G675" s="29">
        <v>21</v>
      </c>
      <c r="H675" s="21">
        <f t="shared" ref="H675" si="532">2/3*G675+1/3*J675</f>
        <v>20.666666666666664</v>
      </c>
      <c r="I675" s="21">
        <f t="shared" ref="I675" si="533">1/3*G675+2/3*J675</f>
        <v>20.333333333333332</v>
      </c>
      <c r="J675" s="29">
        <v>20</v>
      </c>
      <c r="K675" s="21">
        <f t="shared" ref="K675" si="534">2/3*J675+1/3*M675</f>
        <v>19.666666666666664</v>
      </c>
      <c r="L675" s="21">
        <f t="shared" ref="L675" si="535">1/3*J675+2/3*M675</f>
        <v>19.333333333333332</v>
      </c>
      <c r="M675" s="29">
        <v>19</v>
      </c>
    </row>
    <row r="676" spans="2:13" ht="15" x14ac:dyDescent="0.25">
      <c r="B676" s="2"/>
      <c r="C676" s="59" t="s">
        <v>469</v>
      </c>
      <c r="G676" s="21">
        <f t="shared" ref="G676:M676" si="536">G633+G675</f>
        <v>21.75</v>
      </c>
      <c r="H676" s="21">
        <f t="shared" si="536"/>
        <v>21.833333333333332</v>
      </c>
      <c r="I676" s="21">
        <f t="shared" si="536"/>
        <v>21.916666666666664</v>
      </c>
      <c r="J676" s="21">
        <f t="shared" si="536"/>
        <v>22</v>
      </c>
      <c r="K676" s="21">
        <f t="shared" si="536"/>
        <v>21.666666666666664</v>
      </c>
      <c r="L676" s="21">
        <f t="shared" si="536"/>
        <v>21.333333333333332</v>
      </c>
      <c r="M676" s="21">
        <f t="shared" si="536"/>
        <v>21</v>
      </c>
    </row>
    <row r="677" spans="2:13" ht="15" x14ac:dyDescent="0.25">
      <c r="B677" s="2"/>
      <c r="C677" s="21" t="str">
        <f>C638</f>
        <v>PV, MITTEL, Sommer</v>
      </c>
      <c r="D677" s="21"/>
      <c r="E677" s="21"/>
      <c r="F677" s="21"/>
      <c r="G677" s="21">
        <f>G638</f>
        <v>0.97999999999999987</v>
      </c>
      <c r="H677" s="21">
        <f t="shared" ref="H677:M677" si="537">H638</f>
        <v>2.0533333333333332</v>
      </c>
      <c r="I677" s="21">
        <f t="shared" si="537"/>
        <v>3.1266666666666665</v>
      </c>
      <c r="J677" s="21">
        <f t="shared" si="537"/>
        <v>4.1999999999999993</v>
      </c>
      <c r="K677" s="21">
        <f t="shared" si="537"/>
        <v>6.0666666666666655</v>
      </c>
      <c r="L677" s="21">
        <f t="shared" si="537"/>
        <v>7.9333333333333318</v>
      </c>
      <c r="M677" s="21">
        <f t="shared" si="537"/>
        <v>9.7999999999999989</v>
      </c>
    </row>
    <row r="678" spans="2:13" ht="15" x14ac:dyDescent="0.25">
      <c r="B678" s="2"/>
      <c r="C678" s="21" t="str">
        <f>C643</f>
        <v>Wind, MITTEL, Sommer</v>
      </c>
      <c r="D678" s="21"/>
      <c r="E678" s="21"/>
      <c r="F678" s="21"/>
      <c r="G678" s="21">
        <f>G643</f>
        <v>0.19999999999999998</v>
      </c>
      <c r="H678" s="21">
        <f t="shared" ref="H678:M678" si="538">H643</f>
        <v>0.41111111111111104</v>
      </c>
      <c r="I678" s="21">
        <f t="shared" si="538"/>
        <v>0.62222222222222212</v>
      </c>
      <c r="J678" s="21">
        <f t="shared" si="538"/>
        <v>0.83333333333333326</v>
      </c>
      <c r="K678" s="21">
        <f t="shared" si="538"/>
        <v>0.88888888888888884</v>
      </c>
      <c r="L678" s="21">
        <f t="shared" si="538"/>
        <v>0.94444444444444431</v>
      </c>
      <c r="M678" s="21">
        <f t="shared" si="538"/>
        <v>1</v>
      </c>
    </row>
    <row r="679" spans="2:13" ht="15" x14ac:dyDescent="0.25">
      <c r="B679" s="2"/>
      <c r="C679" s="21" t="str">
        <f t="shared" ref="C679" si="539">C648</f>
        <v>Geothermie, MITTEL, Sommer</v>
      </c>
      <c r="D679" s="21"/>
      <c r="E679" s="21"/>
      <c r="F679" s="21"/>
      <c r="G679" s="21">
        <f>G648</f>
        <v>0</v>
      </c>
      <c r="H679" s="21">
        <f t="shared" ref="H679:M679" si="540">H648</f>
        <v>0</v>
      </c>
      <c r="I679" s="21">
        <f t="shared" si="540"/>
        <v>0</v>
      </c>
      <c r="J679" s="21">
        <f t="shared" si="540"/>
        <v>0</v>
      </c>
      <c r="K679" s="21">
        <f t="shared" si="540"/>
        <v>0</v>
      </c>
      <c r="L679" s="21">
        <f t="shared" si="540"/>
        <v>0</v>
      </c>
      <c r="M679" s="21">
        <f t="shared" si="540"/>
        <v>0</v>
      </c>
    </row>
    <row r="680" spans="2:13" ht="15" x14ac:dyDescent="0.25">
      <c r="B680" s="2"/>
      <c r="C680" s="33" t="str">
        <f>C653</f>
        <v>Biomasse-WKK, MITTEL, Sommer</v>
      </c>
      <c r="D680" s="33"/>
      <c r="E680" s="33"/>
      <c r="F680" s="33"/>
      <c r="G680" s="33">
        <f>G653</f>
        <v>0.25</v>
      </c>
      <c r="H680" s="33">
        <f t="shared" ref="H680:M680" si="541">H653</f>
        <v>0.47222222222222215</v>
      </c>
      <c r="I680" s="33">
        <f t="shared" si="541"/>
        <v>0.69444444444444431</v>
      </c>
      <c r="J680" s="33">
        <f t="shared" si="541"/>
        <v>0.91666666666666663</v>
      </c>
      <c r="K680" s="33">
        <f t="shared" si="541"/>
        <v>0.94444444444444431</v>
      </c>
      <c r="L680" s="33">
        <f t="shared" si="541"/>
        <v>0.9722222222222221</v>
      </c>
      <c r="M680" s="33">
        <f t="shared" si="541"/>
        <v>1</v>
      </c>
    </row>
    <row r="681" spans="2:13" ht="15" x14ac:dyDescent="0.25">
      <c r="B681" s="2"/>
      <c r="C681" s="62" t="s">
        <v>494</v>
      </c>
      <c r="D681" s="14"/>
      <c r="E681" s="14"/>
      <c r="F681" s="14"/>
      <c r="G681" s="61">
        <f>G619-SUM(G673:G680)+G675</f>
        <v>-3.1799999999999997</v>
      </c>
      <c r="H681" s="61">
        <f t="shared" ref="H681:M681" si="542">H619-SUM(H673:H680)+H675</f>
        <v>0.89666666666666117</v>
      </c>
      <c r="I681" s="61">
        <f t="shared" si="542"/>
        <v>1.4733333333333327</v>
      </c>
      <c r="J681" s="61">
        <f t="shared" si="542"/>
        <v>2.0499999999999972</v>
      </c>
      <c r="K681" s="61">
        <f t="shared" si="542"/>
        <v>2.4333333333333371</v>
      </c>
      <c r="L681" s="61">
        <f t="shared" si="542"/>
        <v>2.8166666666666664</v>
      </c>
      <c r="M681" s="61">
        <f t="shared" si="542"/>
        <v>3.2000000000000028</v>
      </c>
    </row>
    <row r="682" spans="2:13" ht="15" x14ac:dyDescent="0.25">
      <c r="B682" s="2"/>
      <c r="C682" s="65" t="s">
        <v>497</v>
      </c>
      <c r="G682" s="19"/>
      <c r="H682" s="19"/>
      <c r="I682" s="19"/>
      <c r="J682" s="19"/>
      <c r="K682" s="19"/>
      <c r="L682" s="19"/>
      <c r="M682" s="21">
        <f t="shared" ref="M682" si="543">SUM(M676:M681)-M675</f>
        <v>17</v>
      </c>
    </row>
    <row r="683" spans="2:13" ht="15" x14ac:dyDescent="0.25">
      <c r="B683" s="2"/>
      <c r="C683" s="59"/>
      <c r="G683" s="21"/>
      <c r="H683" s="21"/>
      <c r="I683" s="21"/>
      <c r="J683" s="21"/>
      <c r="K683" s="21"/>
      <c r="L683" s="21"/>
      <c r="M683" s="21"/>
    </row>
    <row r="684" spans="2:13" ht="15" x14ac:dyDescent="0.25">
      <c r="B684" s="2" t="s">
        <v>503</v>
      </c>
    </row>
    <row r="685" spans="2:13" ht="15" x14ac:dyDescent="0.25">
      <c r="B685" s="2"/>
      <c r="C685" s="13" t="s">
        <v>128</v>
      </c>
    </row>
    <row r="686" spans="2:13" ht="15" x14ac:dyDescent="0.25">
      <c r="B686" s="2"/>
      <c r="C686" s="29" t="s">
        <v>110</v>
      </c>
      <c r="D686" s="29"/>
      <c r="E686" s="57"/>
      <c r="F686" s="57"/>
      <c r="G686" s="57">
        <f t="shared" ref="G686:M693" si="544">G660+G673</f>
        <v>25</v>
      </c>
      <c r="H686" s="57">
        <f t="shared" si="544"/>
        <v>17</v>
      </c>
      <c r="I686" s="57">
        <f t="shared" si="544"/>
        <v>13</v>
      </c>
      <c r="J686" s="57">
        <f t="shared" si="544"/>
        <v>9</v>
      </c>
      <c r="K686" s="57">
        <f t="shared" si="544"/>
        <v>6</v>
      </c>
      <c r="L686" s="57">
        <f t="shared" si="544"/>
        <v>3</v>
      </c>
      <c r="M686" s="57">
        <f t="shared" si="544"/>
        <v>0</v>
      </c>
    </row>
    <row r="687" spans="2:13" ht="15" x14ac:dyDescent="0.25">
      <c r="B687" s="2"/>
      <c r="C687" s="59" t="s">
        <v>468</v>
      </c>
      <c r="D687" s="29"/>
      <c r="E687" s="57"/>
      <c r="F687" s="57"/>
      <c r="G687" s="57">
        <f t="shared" si="544"/>
        <v>3</v>
      </c>
      <c r="H687" s="57">
        <f t="shared" si="544"/>
        <v>3</v>
      </c>
      <c r="I687" s="57">
        <f t="shared" si="544"/>
        <v>3</v>
      </c>
      <c r="J687" s="57">
        <f t="shared" si="544"/>
        <v>3</v>
      </c>
      <c r="K687" s="57">
        <f t="shared" si="544"/>
        <v>3</v>
      </c>
      <c r="L687" s="57">
        <f t="shared" si="544"/>
        <v>3</v>
      </c>
      <c r="M687" s="57">
        <f t="shared" si="544"/>
        <v>3</v>
      </c>
    </row>
    <row r="688" spans="2:13" ht="15" x14ac:dyDescent="0.25">
      <c r="B688" s="2"/>
      <c r="C688" s="59" t="s">
        <v>481</v>
      </c>
      <c r="D688" s="29"/>
      <c r="E688" s="57"/>
      <c r="F688" s="57"/>
      <c r="G688" s="57">
        <f t="shared" si="544"/>
        <v>35</v>
      </c>
      <c r="H688" s="57">
        <f t="shared" si="544"/>
        <v>35</v>
      </c>
      <c r="I688" s="57">
        <f t="shared" si="544"/>
        <v>35</v>
      </c>
      <c r="J688" s="57">
        <f t="shared" si="544"/>
        <v>35</v>
      </c>
      <c r="K688" s="57">
        <f t="shared" si="544"/>
        <v>35</v>
      </c>
      <c r="L688" s="57">
        <f t="shared" si="544"/>
        <v>35</v>
      </c>
      <c r="M688" s="57">
        <f t="shared" si="544"/>
        <v>35</v>
      </c>
    </row>
    <row r="689" spans="2:14" ht="15" x14ac:dyDescent="0.25">
      <c r="B689" s="2"/>
      <c r="C689" s="59" t="s">
        <v>469</v>
      </c>
      <c r="G689" s="21">
        <f t="shared" si="544"/>
        <v>36.5</v>
      </c>
      <c r="H689" s="21">
        <f t="shared" si="544"/>
        <v>37.333333333333329</v>
      </c>
      <c r="I689" s="21">
        <f t="shared" si="544"/>
        <v>38.166666666666664</v>
      </c>
      <c r="J689" s="21">
        <f t="shared" si="544"/>
        <v>39</v>
      </c>
      <c r="K689" s="21">
        <f t="shared" si="544"/>
        <v>39</v>
      </c>
      <c r="L689" s="21">
        <f t="shared" si="544"/>
        <v>39</v>
      </c>
      <c r="M689" s="21">
        <f t="shared" si="544"/>
        <v>39</v>
      </c>
    </row>
    <row r="690" spans="2:14" ht="15" x14ac:dyDescent="0.25">
      <c r="B690" s="2"/>
      <c r="C690" s="59" t="s">
        <v>453</v>
      </c>
      <c r="G690" s="21">
        <f t="shared" si="544"/>
        <v>1.4</v>
      </c>
      <c r="H690" s="21">
        <f t="shared" si="544"/>
        <v>2.9333333333333331</v>
      </c>
      <c r="I690" s="21">
        <f t="shared" si="544"/>
        <v>4.4666666666666668</v>
      </c>
      <c r="J690" s="21">
        <f t="shared" si="544"/>
        <v>5.9999999999999991</v>
      </c>
      <c r="K690" s="21">
        <f t="shared" si="544"/>
        <v>8.6666666666666643</v>
      </c>
      <c r="L690" s="21">
        <f t="shared" si="544"/>
        <v>11.333333333333332</v>
      </c>
      <c r="M690" s="21">
        <f t="shared" si="544"/>
        <v>14</v>
      </c>
    </row>
    <row r="691" spans="2:14" ht="15" x14ac:dyDescent="0.25">
      <c r="B691" s="2"/>
      <c r="C691" s="59" t="s">
        <v>454</v>
      </c>
      <c r="G691" s="21">
        <f t="shared" si="544"/>
        <v>0.6</v>
      </c>
      <c r="H691" s="21">
        <f t="shared" si="544"/>
        <v>1.2333333333333332</v>
      </c>
      <c r="I691" s="21">
        <f t="shared" si="544"/>
        <v>1.8666666666666663</v>
      </c>
      <c r="J691" s="21">
        <f t="shared" si="544"/>
        <v>2.5</v>
      </c>
      <c r="K691" s="21">
        <f t="shared" si="544"/>
        <v>2.6666666666666665</v>
      </c>
      <c r="L691" s="21">
        <f t="shared" si="544"/>
        <v>2.833333333333333</v>
      </c>
      <c r="M691" s="21">
        <f t="shared" si="544"/>
        <v>3</v>
      </c>
    </row>
    <row r="692" spans="2:14" ht="15" x14ac:dyDescent="0.25">
      <c r="B692" s="2"/>
      <c r="C692" s="59" t="s">
        <v>455</v>
      </c>
      <c r="G692" s="21">
        <f t="shared" si="544"/>
        <v>0</v>
      </c>
      <c r="H692" s="21">
        <f t="shared" si="544"/>
        <v>0.53333333333333333</v>
      </c>
      <c r="I692" s="21">
        <f t="shared" si="544"/>
        <v>1.0666666666666667</v>
      </c>
      <c r="J692" s="21">
        <f t="shared" si="544"/>
        <v>1.6</v>
      </c>
      <c r="K692" s="21">
        <f t="shared" si="544"/>
        <v>2.4</v>
      </c>
      <c r="L692" s="21">
        <f t="shared" si="544"/>
        <v>3.1999999999999997</v>
      </c>
      <c r="M692" s="21">
        <f t="shared" si="544"/>
        <v>4</v>
      </c>
    </row>
    <row r="693" spans="2:14" ht="15" x14ac:dyDescent="0.25">
      <c r="B693" s="2"/>
      <c r="C693" s="59" t="s">
        <v>470</v>
      </c>
      <c r="G693" s="21">
        <f t="shared" si="544"/>
        <v>1.5</v>
      </c>
      <c r="H693" s="21">
        <f t="shared" si="544"/>
        <v>2.8333333333333335</v>
      </c>
      <c r="I693" s="21">
        <f t="shared" si="544"/>
        <v>4.1666666666666661</v>
      </c>
      <c r="J693" s="21">
        <f t="shared" si="544"/>
        <v>5.5000000000000009</v>
      </c>
      <c r="K693" s="21">
        <f t="shared" si="544"/>
        <v>5.666666666666667</v>
      </c>
      <c r="L693" s="21">
        <f t="shared" si="544"/>
        <v>5.833333333333333</v>
      </c>
      <c r="M693" s="21">
        <f t="shared" si="544"/>
        <v>6</v>
      </c>
    </row>
    <row r="694" spans="2:14" ht="15" x14ac:dyDescent="0.25">
      <c r="B694" s="2"/>
      <c r="C694" s="59" t="s">
        <v>498</v>
      </c>
      <c r="D694" s="60"/>
      <c r="E694" s="60"/>
      <c r="F694" s="60"/>
      <c r="G694" s="60"/>
      <c r="H694" s="60"/>
      <c r="I694" s="60"/>
      <c r="J694" s="60"/>
      <c r="K694" s="60"/>
      <c r="L694" s="60"/>
      <c r="M694" s="60">
        <v>17</v>
      </c>
    </row>
    <row r="695" spans="2:14" ht="15" x14ac:dyDescent="0.25">
      <c r="B695" s="2"/>
      <c r="C695" s="59" t="s">
        <v>499</v>
      </c>
      <c r="K695" s="20"/>
      <c r="L695" s="20"/>
      <c r="M695" s="59">
        <v>13</v>
      </c>
    </row>
    <row r="696" spans="2:14" ht="15" x14ac:dyDescent="0.25">
      <c r="B696" s="2"/>
      <c r="C696" s="59" t="s">
        <v>500</v>
      </c>
      <c r="G696" s="66">
        <f t="shared" ref="G696:J696" si="545">G668+G681</f>
        <v>2</v>
      </c>
      <c r="H696" s="66">
        <f t="shared" si="545"/>
        <v>6.7999999999999936</v>
      </c>
      <c r="I696" s="66">
        <f t="shared" si="545"/>
        <v>7.5999999999999925</v>
      </c>
      <c r="J696" s="66">
        <f t="shared" si="545"/>
        <v>8.3999999999999986</v>
      </c>
      <c r="K696" s="66">
        <f t="shared" ref="K696:L696" si="546">K668+K681</f>
        <v>8.9333333333333336</v>
      </c>
      <c r="L696" s="66">
        <f t="shared" si="546"/>
        <v>9.4666666666666668</v>
      </c>
      <c r="M696" s="66">
        <f>M668+M681</f>
        <v>10</v>
      </c>
    </row>
    <row r="697" spans="2:14" ht="15" x14ac:dyDescent="0.25">
      <c r="B697" s="2"/>
      <c r="C697" s="59" t="s">
        <v>501</v>
      </c>
      <c r="M697" s="59">
        <v>5</v>
      </c>
    </row>
    <row r="698" spans="2:14" ht="15" x14ac:dyDescent="0.25">
      <c r="B698" s="2"/>
      <c r="C698" s="59" t="s">
        <v>502</v>
      </c>
      <c r="M698" s="59">
        <v>0</v>
      </c>
    </row>
    <row r="699" spans="2:14" ht="15" x14ac:dyDescent="0.25">
      <c r="B699" s="2"/>
      <c r="C699" s="59"/>
    </row>
    <row r="700" spans="2:14" ht="15" x14ac:dyDescent="0.25">
      <c r="B700" s="2"/>
      <c r="C700" s="59"/>
    </row>
    <row r="701" spans="2:14" ht="15" x14ac:dyDescent="0.25">
      <c r="B701" s="2" t="s">
        <v>525</v>
      </c>
      <c r="C701" s="59"/>
    </row>
    <row r="702" spans="2:14" ht="15" x14ac:dyDescent="0.25">
      <c r="B702" s="2"/>
      <c r="C702" s="67" t="s">
        <v>259</v>
      </c>
      <c r="E702" s="2">
        <v>2010</v>
      </c>
      <c r="F702" s="2">
        <v>2015</v>
      </c>
      <c r="G702" s="2">
        <v>2020</v>
      </c>
      <c r="H702" s="2">
        <v>2025</v>
      </c>
      <c r="I702" s="2">
        <v>2030</v>
      </c>
      <c r="J702" s="2">
        <v>2035</v>
      </c>
      <c r="K702" s="2">
        <v>2040</v>
      </c>
      <c r="L702" s="2">
        <v>2045</v>
      </c>
      <c r="M702" s="2">
        <v>2050</v>
      </c>
    </row>
    <row r="703" spans="2:14" ht="15" x14ac:dyDescent="0.25">
      <c r="B703" s="2"/>
      <c r="C703" s="68" t="s">
        <v>523</v>
      </c>
      <c r="E703" s="9">
        <v>12</v>
      </c>
      <c r="F703" s="9">
        <v>12</v>
      </c>
      <c r="G703" s="9">
        <v>12</v>
      </c>
      <c r="H703" s="9">
        <v>12</v>
      </c>
      <c r="I703" s="9">
        <v>12</v>
      </c>
      <c r="J703" s="9">
        <v>12</v>
      </c>
      <c r="K703" s="9">
        <v>12</v>
      </c>
      <c r="L703" s="9">
        <v>12</v>
      </c>
      <c r="M703" s="9">
        <v>12</v>
      </c>
      <c r="N703" t="s">
        <v>522</v>
      </c>
    </row>
    <row r="704" spans="2:14" ht="15" x14ac:dyDescent="0.25">
      <c r="B704" s="2"/>
      <c r="C704" s="59" t="s">
        <v>132</v>
      </c>
      <c r="E704">
        <v>8</v>
      </c>
      <c r="F704">
        <v>8</v>
      </c>
      <c r="G704">
        <v>8</v>
      </c>
      <c r="H704">
        <v>8</v>
      </c>
      <c r="I704">
        <v>8</v>
      </c>
      <c r="J704">
        <v>8</v>
      </c>
      <c r="K704">
        <v>8</v>
      </c>
      <c r="L704">
        <v>8</v>
      </c>
      <c r="M704">
        <v>8</v>
      </c>
    </row>
    <row r="705" spans="2:13" ht="15" x14ac:dyDescent="0.25">
      <c r="B705" s="2"/>
      <c r="C705" s="59" t="s">
        <v>510</v>
      </c>
      <c r="E705">
        <v>10</v>
      </c>
      <c r="F705">
        <v>10</v>
      </c>
      <c r="G705">
        <v>10</v>
      </c>
      <c r="H705">
        <v>10</v>
      </c>
      <c r="I705">
        <v>10</v>
      </c>
      <c r="J705">
        <v>10</v>
      </c>
      <c r="K705">
        <v>10</v>
      </c>
      <c r="L705">
        <v>10</v>
      </c>
      <c r="M705">
        <v>10</v>
      </c>
    </row>
    <row r="706" spans="2:13" ht="15" x14ac:dyDescent="0.25">
      <c r="B706" s="2"/>
      <c r="C706" s="59" t="s">
        <v>524</v>
      </c>
      <c r="E706" s="20">
        <f>0.5*(E705+E707)</f>
        <v>8</v>
      </c>
      <c r="F706" s="20">
        <f t="shared" ref="F706:M706" si="547">0.5*(F705+F707)</f>
        <v>8</v>
      </c>
      <c r="G706" s="20">
        <f t="shared" si="547"/>
        <v>8</v>
      </c>
      <c r="H706" s="20">
        <f t="shared" si="547"/>
        <v>8</v>
      </c>
      <c r="I706" s="20">
        <f t="shared" si="547"/>
        <v>8</v>
      </c>
      <c r="J706" s="20">
        <f t="shared" si="547"/>
        <v>8</v>
      </c>
      <c r="K706" s="20">
        <f t="shared" si="547"/>
        <v>8</v>
      </c>
      <c r="L706" s="20">
        <f t="shared" si="547"/>
        <v>8</v>
      </c>
      <c r="M706" s="20">
        <f t="shared" si="547"/>
        <v>8</v>
      </c>
    </row>
    <row r="707" spans="2:13" ht="15" x14ac:dyDescent="0.25">
      <c r="B707" s="2"/>
      <c r="C707" s="59" t="s">
        <v>511</v>
      </c>
      <c r="E707">
        <v>6</v>
      </c>
      <c r="F707">
        <v>6</v>
      </c>
      <c r="G707">
        <v>6</v>
      </c>
      <c r="H707">
        <v>6</v>
      </c>
      <c r="I707">
        <v>6</v>
      </c>
      <c r="J707">
        <v>6</v>
      </c>
      <c r="K707">
        <v>6</v>
      </c>
      <c r="L707">
        <v>6</v>
      </c>
      <c r="M707">
        <v>6</v>
      </c>
    </row>
    <row r="708" spans="2:13" ht="15" x14ac:dyDescent="0.25">
      <c r="B708" s="2"/>
      <c r="C708" s="59" t="s">
        <v>512</v>
      </c>
      <c r="E708">
        <v>20</v>
      </c>
      <c r="F708" s="21">
        <f>0.5*(E708+G708)</f>
        <v>18.5</v>
      </c>
      <c r="G708">
        <v>17</v>
      </c>
      <c r="H708" s="21">
        <f t="shared" ref="H708:H709" si="548">2/3*G708+1/3*J708</f>
        <v>15.333333333333332</v>
      </c>
      <c r="I708" s="21">
        <f t="shared" ref="I708:I709" si="549">1/3*G708+2/3*J708</f>
        <v>13.666666666666666</v>
      </c>
      <c r="J708">
        <v>12</v>
      </c>
      <c r="K708" s="21">
        <f t="shared" ref="K708" si="550">2/3*J708+1/3*M708</f>
        <v>12</v>
      </c>
      <c r="L708" s="21">
        <f t="shared" ref="L708" si="551">1/3*J708+2/3*M708</f>
        <v>12</v>
      </c>
      <c r="M708">
        <v>12</v>
      </c>
    </row>
    <row r="709" spans="2:13" ht="15" x14ac:dyDescent="0.25">
      <c r="B709" s="2"/>
      <c r="C709" s="59" t="s">
        <v>513</v>
      </c>
      <c r="E709">
        <v>14</v>
      </c>
      <c r="F709" s="21">
        <f>0.5*(E709+G709)</f>
        <v>13</v>
      </c>
      <c r="G709">
        <v>12</v>
      </c>
      <c r="H709" s="21">
        <f t="shared" si="548"/>
        <v>10.666666666666666</v>
      </c>
      <c r="I709" s="21">
        <f t="shared" si="549"/>
        <v>9.3333333333333321</v>
      </c>
      <c r="J709">
        <v>8</v>
      </c>
      <c r="K709" s="21">
        <f t="shared" ref="K709" si="552">2/3*J709+1/3*M709</f>
        <v>8</v>
      </c>
      <c r="L709" s="21">
        <f t="shared" ref="L709" si="553">1/3*J709+2/3*M709</f>
        <v>8</v>
      </c>
      <c r="M709">
        <v>8</v>
      </c>
    </row>
    <row r="710" spans="2:13" ht="15" x14ac:dyDescent="0.25">
      <c r="B710" s="2"/>
      <c r="C710" s="59" t="s">
        <v>514</v>
      </c>
      <c r="E710" t="s">
        <v>3</v>
      </c>
      <c r="F710" s="21" t="s">
        <v>3</v>
      </c>
      <c r="G710">
        <v>12</v>
      </c>
      <c r="H710" s="21">
        <f t="shared" ref="H710:H711" si="554">2/3*G710+1/3*J710</f>
        <v>12.333333333333332</v>
      </c>
      <c r="I710" s="21">
        <f t="shared" ref="I710:I711" si="555">1/3*G710+2/3*J710</f>
        <v>12.666666666666666</v>
      </c>
      <c r="J710">
        <v>13</v>
      </c>
      <c r="K710" s="21">
        <f t="shared" ref="K710:K711" si="556">2/3*J710+1/3*M710</f>
        <v>13.666666666666666</v>
      </c>
      <c r="L710" s="21">
        <f t="shared" ref="L710:L711" si="557">1/3*J710+2/3*M710</f>
        <v>14.333333333333332</v>
      </c>
      <c r="M710">
        <v>15</v>
      </c>
    </row>
    <row r="711" spans="2:13" ht="15" x14ac:dyDescent="0.25">
      <c r="B711" s="2"/>
      <c r="C711" s="59" t="s">
        <v>515</v>
      </c>
      <c r="E711" t="s">
        <v>3</v>
      </c>
      <c r="F711" s="21" t="s">
        <v>3</v>
      </c>
      <c r="G711">
        <v>7</v>
      </c>
      <c r="H711" s="21">
        <f t="shared" si="554"/>
        <v>6.6666666666666661</v>
      </c>
      <c r="I711" s="21">
        <f t="shared" si="555"/>
        <v>6.333333333333333</v>
      </c>
      <c r="J711">
        <v>6</v>
      </c>
      <c r="K711" s="21">
        <f t="shared" si="556"/>
        <v>5.6666666666666661</v>
      </c>
      <c r="L711" s="21">
        <f t="shared" si="557"/>
        <v>5.333333333333333</v>
      </c>
      <c r="M711">
        <v>5</v>
      </c>
    </row>
    <row r="712" spans="2:13" ht="15" x14ac:dyDescent="0.25">
      <c r="B712" s="2"/>
      <c r="C712" s="59" t="s">
        <v>516</v>
      </c>
      <c r="E712">
        <v>20</v>
      </c>
      <c r="F712" s="21">
        <f>0.5*(E712+G712)</f>
        <v>18.5</v>
      </c>
      <c r="G712">
        <v>17</v>
      </c>
      <c r="H712" s="21">
        <f t="shared" ref="H712:H713" si="558">2/3*G712+1/3*J712</f>
        <v>16.333333333333332</v>
      </c>
      <c r="I712" s="21">
        <f t="shared" ref="I712:I713" si="559">1/3*G712+2/3*J712</f>
        <v>15.666666666666666</v>
      </c>
      <c r="J712">
        <v>15</v>
      </c>
      <c r="K712" s="21">
        <f t="shared" ref="K712:K713" si="560">2/3*J712+1/3*M712</f>
        <v>14</v>
      </c>
      <c r="L712" s="21">
        <f t="shared" ref="L712:L713" si="561">1/3*J712+2/3*M712</f>
        <v>13</v>
      </c>
      <c r="M712">
        <v>12</v>
      </c>
    </row>
    <row r="713" spans="2:13" ht="15" x14ac:dyDescent="0.25">
      <c r="B713" s="2"/>
      <c r="C713" s="59" t="s">
        <v>517</v>
      </c>
      <c r="E713">
        <v>14</v>
      </c>
      <c r="F713" s="21">
        <f>0.5*(E713+G713)</f>
        <v>13</v>
      </c>
      <c r="G713">
        <v>12</v>
      </c>
      <c r="H713" s="21">
        <f t="shared" si="558"/>
        <v>11.333333333333332</v>
      </c>
      <c r="I713" s="21">
        <f t="shared" si="559"/>
        <v>10.666666666666666</v>
      </c>
      <c r="J713">
        <v>10</v>
      </c>
      <c r="K713" s="21">
        <f t="shared" si="560"/>
        <v>9.3333333333333321</v>
      </c>
      <c r="L713" s="21">
        <f t="shared" si="561"/>
        <v>8.6666666666666661</v>
      </c>
      <c r="M713">
        <v>8</v>
      </c>
    </row>
    <row r="714" spans="2:13" ht="15" x14ac:dyDescent="0.25">
      <c r="B714" s="2"/>
      <c r="C714" s="59" t="s">
        <v>518</v>
      </c>
      <c r="E714">
        <v>55</v>
      </c>
      <c r="F714" s="21">
        <f t="shared" ref="F714:F718" si="562">0.5*(E714+G714)</f>
        <v>42.5</v>
      </c>
      <c r="G714">
        <v>30</v>
      </c>
      <c r="H714" s="21">
        <f t="shared" ref="H714:H715" si="563">2/3*G714+1/3*J714</f>
        <v>25</v>
      </c>
      <c r="I714" s="21">
        <f t="shared" ref="I714:I715" si="564">1/3*G714+2/3*J714</f>
        <v>20</v>
      </c>
      <c r="J714">
        <v>15</v>
      </c>
      <c r="K714" s="21">
        <f t="shared" ref="K714:K715" si="565">2/3*J714+1/3*M714</f>
        <v>13.333333333333332</v>
      </c>
      <c r="L714" s="21">
        <f t="shared" ref="L714:L715" si="566">1/3*J714+2/3*M714</f>
        <v>11.666666666666666</v>
      </c>
      <c r="M714">
        <v>10</v>
      </c>
    </row>
    <row r="715" spans="2:13" ht="15" x14ac:dyDescent="0.25">
      <c r="B715" s="2"/>
      <c r="C715" s="59" t="s">
        <v>519</v>
      </c>
      <c r="E715">
        <v>35</v>
      </c>
      <c r="F715" s="21">
        <f t="shared" si="562"/>
        <v>27.5</v>
      </c>
      <c r="G715">
        <v>20</v>
      </c>
      <c r="H715" s="21">
        <f t="shared" si="563"/>
        <v>16.666666666666664</v>
      </c>
      <c r="I715" s="21">
        <f t="shared" si="564"/>
        <v>13.333333333333332</v>
      </c>
      <c r="J715">
        <v>10</v>
      </c>
      <c r="K715" s="21">
        <f t="shared" si="565"/>
        <v>8.6666666666666661</v>
      </c>
      <c r="L715" s="21">
        <f t="shared" si="566"/>
        <v>7.333333333333333</v>
      </c>
      <c r="M715">
        <v>6</v>
      </c>
    </row>
    <row r="716" spans="2:13" ht="15" x14ac:dyDescent="0.25">
      <c r="B716" s="2"/>
      <c r="C716" s="59" t="s">
        <v>520</v>
      </c>
      <c r="E716">
        <v>70</v>
      </c>
      <c r="F716" s="21">
        <f t="shared" si="562"/>
        <v>49</v>
      </c>
      <c r="G716">
        <v>28</v>
      </c>
      <c r="H716" s="21">
        <f t="shared" ref="H716:H717" si="567">2/3*G716+1/3*J716</f>
        <v>23.333333333333329</v>
      </c>
      <c r="I716" s="21">
        <f t="shared" ref="I716:I717" si="568">1/3*G716+2/3*J716</f>
        <v>18.666666666666664</v>
      </c>
      <c r="J716">
        <v>14</v>
      </c>
      <c r="K716" s="21">
        <f t="shared" ref="K716:K717" si="569">2/3*J716+1/3*M716</f>
        <v>11.999999999999998</v>
      </c>
      <c r="L716" s="21">
        <f t="shared" ref="L716:L717" si="570">1/3*J716+2/3*M716</f>
        <v>10</v>
      </c>
      <c r="M716">
        <v>8</v>
      </c>
    </row>
    <row r="717" spans="2:13" ht="15" x14ac:dyDescent="0.25">
      <c r="B717" s="2"/>
      <c r="C717" s="62" t="s">
        <v>521</v>
      </c>
      <c r="D717" s="14"/>
      <c r="E717" s="14">
        <v>40</v>
      </c>
      <c r="F717" s="61">
        <f t="shared" si="562"/>
        <v>28</v>
      </c>
      <c r="G717" s="14">
        <v>16</v>
      </c>
      <c r="H717" s="61">
        <f t="shared" si="567"/>
        <v>13.333333333333332</v>
      </c>
      <c r="I717" s="61">
        <f t="shared" si="568"/>
        <v>10.666666666666666</v>
      </c>
      <c r="J717" s="14">
        <v>8</v>
      </c>
      <c r="K717" s="61">
        <f t="shared" si="569"/>
        <v>7</v>
      </c>
      <c r="L717" s="61">
        <f t="shared" si="570"/>
        <v>6</v>
      </c>
      <c r="M717" s="14">
        <v>5</v>
      </c>
    </row>
    <row r="718" spans="2:13" ht="15" x14ac:dyDescent="0.25">
      <c r="B718" s="2"/>
      <c r="C718" s="59" t="s">
        <v>526</v>
      </c>
      <c r="E718">
        <v>8.1999999999999993</v>
      </c>
      <c r="F718" s="19">
        <f t="shared" si="562"/>
        <v>8.6499999999999986</v>
      </c>
      <c r="G718">
        <v>9.1</v>
      </c>
      <c r="H718" s="23">
        <v>9.9</v>
      </c>
      <c r="I718" s="19">
        <f t="shared" ref="I718" si="571">0.5*(H718+J718)</f>
        <v>9.8000000000000007</v>
      </c>
      <c r="J718">
        <v>9.6999999999999993</v>
      </c>
      <c r="K718" s="19">
        <f t="shared" ref="K718" si="572">2/3*J718+1/3*M718</f>
        <v>9.6999999999999993</v>
      </c>
      <c r="L718" s="19">
        <f t="shared" ref="L718" si="573">1/3*J718+2/3*M718</f>
        <v>9.6999999999999993</v>
      </c>
      <c r="M718">
        <v>9.6999999999999993</v>
      </c>
    </row>
    <row r="719" spans="2:13" ht="15" x14ac:dyDescent="0.25">
      <c r="B719" s="2"/>
      <c r="C719" s="59"/>
      <c r="F719" s="23" t="s">
        <v>979</v>
      </c>
      <c r="G719" s="20">
        <f>(G686*G706+(G687+G696)*G703+G689*G704+G690*0.5*(G714+G715)+G691*0.5*(G712+G713)+G692*0.5*(G710+G711)+G693*0.5*(G708+G709))/(G686+G687+G689+G690+G691+G692+G693+G696)</f>
        <v>8.8207142857142866</v>
      </c>
      <c r="H719" s="21"/>
      <c r="I719" s="21"/>
      <c r="K719" s="21"/>
      <c r="L719" s="21"/>
    </row>
    <row r="720" spans="2:13" ht="15" x14ac:dyDescent="0.25">
      <c r="B720" s="2"/>
    </row>
    <row r="721" spans="1:14" ht="15" x14ac:dyDescent="0.25">
      <c r="B721" s="2" t="s">
        <v>456</v>
      </c>
    </row>
    <row r="722" spans="1:14" ht="15" x14ac:dyDescent="0.25">
      <c r="B722" s="2"/>
      <c r="C722" s="13" t="s">
        <v>460</v>
      </c>
    </row>
    <row r="723" spans="1:14" ht="15" x14ac:dyDescent="0.25">
      <c r="B723" s="2"/>
      <c r="C723" t="s">
        <v>132</v>
      </c>
      <c r="M723" t="s">
        <v>461</v>
      </c>
      <c r="N723" t="s">
        <v>459</v>
      </c>
    </row>
    <row r="724" spans="1:14" ht="15" x14ac:dyDescent="0.25">
      <c r="B724" s="2"/>
      <c r="C724" t="s">
        <v>8</v>
      </c>
      <c r="M724">
        <v>10</v>
      </c>
      <c r="N724" t="s">
        <v>459</v>
      </c>
    </row>
    <row r="725" spans="1:14" ht="15" x14ac:dyDescent="0.25">
      <c r="B725" s="2"/>
      <c r="C725" t="s">
        <v>7</v>
      </c>
      <c r="E725" s="12" t="s">
        <v>463</v>
      </c>
      <c r="J725" s="11" t="s">
        <v>462</v>
      </c>
    </row>
    <row r="726" spans="1:14" ht="15" x14ac:dyDescent="0.25">
      <c r="B726" s="2"/>
      <c r="C726" t="s">
        <v>465</v>
      </c>
      <c r="M726">
        <v>50</v>
      </c>
      <c r="N726" t="s">
        <v>464</v>
      </c>
    </row>
    <row r="727" spans="1:14" ht="15" x14ac:dyDescent="0.25">
      <c r="B727" s="2"/>
    </row>
    <row r="729" spans="1:14" x14ac:dyDescent="0.2">
      <c r="C729" s="9"/>
    </row>
    <row r="730" spans="1:14" x14ac:dyDescent="0.2">
      <c r="C730" s="9"/>
    </row>
    <row r="731" spans="1:14" ht="25.5" x14ac:dyDescent="0.35">
      <c r="A731" s="5" t="s">
        <v>234</v>
      </c>
    </row>
    <row r="733" spans="1:14" ht="15" x14ac:dyDescent="0.25">
      <c r="B733" s="2" t="s">
        <v>229</v>
      </c>
    </row>
    <row r="735" spans="1:14" ht="15" x14ac:dyDescent="0.25">
      <c r="B735" s="2" t="s">
        <v>915</v>
      </c>
    </row>
    <row r="736" spans="1:14" ht="15" x14ac:dyDescent="0.25">
      <c r="C736" s="13" t="s">
        <v>128</v>
      </c>
      <c r="E736" s="2">
        <v>2011</v>
      </c>
      <c r="F736" s="2">
        <v>2015</v>
      </c>
      <c r="G736" s="2">
        <v>2020</v>
      </c>
      <c r="H736" s="2">
        <v>2025</v>
      </c>
      <c r="I736" s="2">
        <v>2030</v>
      </c>
      <c r="J736" s="2">
        <v>2035</v>
      </c>
      <c r="K736" s="2">
        <v>2040</v>
      </c>
      <c r="L736" s="2">
        <v>2045</v>
      </c>
      <c r="M736" s="2">
        <v>2050</v>
      </c>
    </row>
    <row r="737" spans="2:13" x14ac:dyDescent="0.2">
      <c r="D737" t="s">
        <v>20</v>
      </c>
      <c r="E737" s="4">
        <v>64.900000000000006</v>
      </c>
      <c r="F737" s="4">
        <v>67.099999999999994</v>
      </c>
      <c r="G737" s="4">
        <v>69.7</v>
      </c>
      <c r="H737" s="4">
        <v>72.099999999999994</v>
      </c>
      <c r="I737" s="4">
        <v>74.2</v>
      </c>
      <c r="J737" s="4">
        <v>76.2</v>
      </c>
      <c r="K737" s="4">
        <v>78</v>
      </c>
      <c r="L737" s="4">
        <v>79.599999999999994</v>
      </c>
      <c r="M737" s="4">
        <v>81</v>
      </c>
    </row>
    <row r="738" spans="2:13" x14ac:dyDescent="0.2">
      <c r="D738" t="s">
        <v>21</v>
      </c>
      <c r="E738" s="4">
        <v>64.900000000000006</v>
      </c>
      <c r="F738" s="4">
        <v>67.2</v>
      </c>
      <c r="G738" s="4">
        <v>69.400000000000006</v>
      </c>
      <c r="H738" s="4">
        <v>71</v>
      </c>
      <c r="I738" s="4">
        <v>72.099999999999994</v>
      </c>
      <c r="J738" s="4">
        <v>72.8</v>
      </c>
      <c r="K738" s="4">
        <v>73.3</v>
      </c>
      <c r="L738" s="4">
        <v>73.3</v>
      </c>
      <c r="M738" s="4">
        <v>73</v>
      </c>
    </row>
    <row r="739" spans="2:13" x14ac:dyDescent="0.2">
      <c r="D739" t="s">
        <v>22</v>
      </c>
      <c r="E739" s="4">
        <v>64.900000000000006</v>
      </c>
      <c r="F739" s="4">
        <v>67</v>
      </c>
      <c r="G739" s="4">
        <v>68.7</v>
      </c>
      <c r="H739" s="4">
        <v>69.400000000000006</v>
      </c>
      <c r="I739" s="4">
        <v>69.2</v>
      </c>
      <c r="J739" s="4">
        <v>68.2</v>
      </c>
      <c r="K739" s="4">
        <v>66.599999999999994</v>
      </c>
      <c r="L739" s="4">
        <v>63.9</v>
      </c>
      <c r="M739" s="4">
        <v>60.5</v>
      </c>
    </row>
    <row r="740" spans="2:13" x14ac:dyDescent="0.2">
      <c r="E740" s="4"/>
      <c r="F740" s="4"/>
      <c r="G740" s="4"/>
      <c r="H740" s="4"/>
      <c r="I740" s="4"/>
      <c r="J740" s="4"/>
      <c r="K740" s="4"/>
      <c r="L740" s="4"/>
      <c r="M740" s="4"/>
    </row>
    <row r="741" spans="2:13" ht="15" x14ac:dyDescent="0.25">
      <c r="B741" s="2" t="s">
        <v>25</v>
      </c>
    </row>
    <row r="742" spans="2:13" ht="15" x14ac:dyDescent="0.25">
      <c r="C742" s="13" t="s">
        <v>125</v>
      </c>
      <c r="E742" s="2">
        <v>2011</v>
      </c>
      <c r="F742" s="2">
        <v>2015</v>
      </c>
      <c r="G742" s="2">
        <v>2020</v>
      </c>
      <c r="H742" s="2">
        <v>2025</v>
      </c>
      <c r="I742" s="2">
        <v>2030</v>
      </c>
      <c r="J742" s="2">
        <v>2035</v>
      </c>
      <c r="K742" s="2">
        <v>2040</v>
      </c>
      <c r="L742" s="2">
        <v>2045</v>
      </c>
      <c r="M742" s="2">
        <v>2050</v>
      </c>
    </row>
    <row r="743" spans="2:13" x14ac:dyDescent="0.2">
      <c r="C743" t="s">
        <v>83</v>
      </c>
      <c r="E743" s="6">
        <v>3</v>
      </c>
    </row>
    <row r="744" spans="2:13" x14ac:dyDescent="0.2">
      <c r="C744" t="s">
        <v>84</v>
      </c>
      <c r="E744" s="6">
        <v>7</v>
      </c>
    </row>
    <row r="745" spans="2:13" x14ac:dyDescent="0.2">
      <c r="C745" t="s">
        <v>85</v>
      </c>
      <c r="E745" s="6">
        <v>10</v>
      </c>
    </row>
    <row r="746" spans="2:13" x14ac:dyDescent="0.2">
      <c r="C746" t="s">
        <v>80</v>
      </c>
      <c r="E746" s="4"/>
      <c r="F746">
        <v>17</v>
      </c>
      <c r="J746">
        <v>17</v>
      </c>
      <c r="M746">
        <v>17</v>
      </c>
    </row>
    <row r="747" spans="2:13" x14ac:dyDescent="0.2">
      <c r="C747" t="s">
        <v>79</v>
      </c>
      <c r="E747" s="4"/>
      <c r="F747">
        <v>32</v>
      </c>
      <c r="J747">
        <v>32</v>
      </c>
      <c r="M747">
        <v>32</v>
      </c>
    </row>
    <row r="748" spans="2:13" x14ac:dyDescent="0.2">
      <c r="C748" t="s">
        <v>81</v>
      </c>
      <c r="F748">
        <v>10</v>
      </c>
      <c r="J748">
        <v>10</v>
      </c>
      <c r="M748">
        <v>10</v>
      </c>
    </row>
    <row r="749" spans="2:13" x14ac:dyDescent="0.2">
      <c r="C749" t="s">
        <v>82</v>
      </c>
      <c r="F749">
        <v>19</v>
      </c>
      <c r="J749">
        <v>19</v>
      </c>
      <c r="M749">
        <v>19</v>
      </c>
    </row>
    <row r="750" spans="2:13" x14ac:dyDescent="0.2">
      <c r="C750" t="s">
        <v>71</v>
      </c>
      <c r="E750">
        <v>22</v>
      </c>
      <c r="F750">
        <v>22</v>
      </c>
      <c r="J750">
        <v>25</v>
      </c>
      <c r="M750">
        <v>26</v>
      </c>
    </row>
    <row r="751" spans="2:13" x14ac:dyDescent="0.2">
      <c r="C751" t="s">
        <v>72</v>
      </c>
      <c r="E751">
        <v>36</v>
      </c>
      <c r="F751">
        <v>36</v>
      </c>
      <c r="J751">
        <v>41</v>
      </c>
      <c r="M751">
        <v>43</v>
      </c>
    </row>
    <row r="752" spans="2:13" x14ac:dyDescent="0.2">
      <c r="C752" t="s">
        <v>73</v>
      </c>
      <c r="E752">
        <v>19</v>
      </c>
      <c r="F752">
        <v>19</v>
      </c>
      <c r="J752">
        <v>21</v>
      </c>
      <c r="M752">
        <v>22</v>
      </c>
    </row>
    <row r="753" spans="3:13" x14ac:dyDescent="0.2">
      <c r="C753" t="s">
        <v>74</v>
      </c>
      <c r="E753">
        <v>26</v>
      </c>
      <c r="F753">
        <v>26</v>
      </c>
      <c r="J753">
        <v>27</v>
      </c>
      <c r="M753">
        <v>28</v>
      </c>
    </row>
    <row r="754" spans="3:13" x14ac:dyDescent="0.2">
      <c r="C754" t="s">
        <v>91</v>
      </c>
      <c r="F754">
        <v>10</v>
      </c>
    </row>
    <row r="755" spans="3:13" x14ac:dyDescent="0.2">
      <c r="C755" t="s">
        <v>92</v>
      </c>
      <c r="F755">
        <v>10</v>
      </c>
    </row>
    <row r="756" spans="3:13" x14ac:dyDescent="0.2">
      <c r="C756" t="s">
        <v>75</v>
      </c>
      <c r="E756">
        <v>26</v>
      </c>
      <c r="F756">
        <v>26</v>
      </c>
      <c r="J756">
        <v>19</v>
      </c>
      <c r="M756">
        <v>17</v>
      </c>
    </row>
    <row r="757" spans="3:13" x14ac:dyDescent="0.2">
      <c r="C757" t="s">
        <v>76</v>
      </c>
      <c r="E757">
        <v>37</v>
      </c>
      <c r="F757">
        <v>37</v>
      </c>
      <c r="J757">
        <v>25</v>
      </c>
      <c r="M757">
        <v>22</v>
      </c>
    </row>
    <row r="758" spans="3:13" x14ac:dyDescent="0.2">
      <c r="C758" t="s">
        <v>95</v>
      </c>
      <c r="F758">
        <v>2</v>
      </c>
    </row>
    <row r="759" spans="3:13" x14ac:dyDescent="0.2">
      <c r="C759" t="s">
        <v>69</v>
      </c>
      <c r="E759">
        <v>29</v>
      </c>
      <c r="F759">
        <v>29</v>
      </c>
      <c r="G759" s="103">
        <f>3/4*F759+1/4*J759</f>
        <v>26.25</v>
      </c>
      <c r="H759" s="103">
        <f>2/4*F759+2/4*J759</f>
        <v>23.5</v>
      </c>
      <c r="I759" s="103">
        <f>1/4*F759+3/4*J759</f>
        <v>20.75</v>
      </c>
      <c r="J759">
        <v>18</v>
      </c>
      <c r="K759" s="103">
        <f t="shared" ref="K759:K760" si="574">2/3*J759+1/3*M759</f>
        <v>16.666666666666664</v>
      </c>
      <c r="L759" s="103">
        <f t="shared" ref="L759:L760" si="575">1/3*J759+2/3*M759</f>
        <v>15.333333333333332</v>
      </c>
      <c r="M759">
        <v>14</v>
      </c>
    </row>
    <row r="760" spans="3:13" x14ac:dyDescent="0.2">
      <c r="C760" t="s">
        <v>70</v>
      </c>
      <c r="E760">
        <v>46</v>
      </c>
      <c r="F760">
        <v>46</v>
      </c>
      <c r="G760" s="103">
        <f>3/4*F760+1/4*J760</f>
        <v>41.5</v>
      </c>
      <c r="H760" s="103">
        <f>2/4*F760+2/4*J760</f>
        <v>37</v>
      </c>
      <c r="I760" s="103">
        <f>1/4*F760+3/4*J760</f>
        <v>32.5</v>
      </c>
      <c r="J760">
        <v>28</v>
      </c>
      <c r="K760" s="103">
        <f t="shared" si="574"/>
        <v>25.666666666666664</v>
      </c>
      <c r="L760" s="103">
        <f t="shared" si="575"/>
        <v>23.333333333333332</v>
      </c>
      <c r="M760">
        <v>21</v>
      </c>
    </row>
    <row r="761" spans="3:13" x14ac:dyDescent="0.2">
      <c r="C761" t="s">
        <v>68</v>
      </c>
      <c r="E761">
        <v>14</v>
      </c>
      <c r="F761">
        <v>14</v>
      </c>
      <c r="G761" s="103">
        <f>3/4*F761+1/4*J761</f>
        <v>13.75</v>
      </c>
      <c r="H761" s="103">
        <f>2/4*F761+2/4*J761</f>
        <v>13.5</v>
      </c>
      <c r="I761" s="103">
        <f>1/4*F761+3/4*J761</f>
        <v>13.25</v>
      </c>
      <c r="J761">
        <v>13</v>
      </c>
      <c r="K761" s="103">
        <f t="shared" ref="K761:K762" si="576">2/3*J761+1/3*M761</f>
        <v>12.666666666666666</v>
      </c>
      <c r="L761" s="103">
        <f t="shared" ref="L761:L762" si="577">1/3*J761+2/3*M761</f>
        <v>12.333333333333332</v>
      </c>
      <c r="M761">
        <v>12</v>
      </c>
    </row>
    <row r="762" spans="3:13" x14ac:dyDescent="0.2">
      <c r="C762" t="s">
        <v>67</v>
      </c>
      <c r="E762">
        <v>20</v>
      </c>
      <c r="F762">
        <v>20</v>
      </c>
      <c r="G762" s="103">
        <f>3/4*F762+1/4*J762</f>
        <v>19.5</v>
      </c>
      <c r="H762" s="103">
        <f>2/4*F762+2/4*J762</f>
        <v>19</v>
      </c>
      <c r="I762" s="103">
        <f>1/4*F762+3/4*J762</f>
        <v>18.5</v>
      </c>
      <c r="J762">
        <v>18</v>
      </c>
      <c r="K762" s="103">
        <f t="shared" si="576"/>
        <v>17.666666666666664</v>
      </c>
      <c r="L762" s="103">
        <f t="shared" si="577"/>
        <v>17.333333333333332</v>
      </c>
      <c r="M762">
        <v>17</v>
      </c>
    </row>
    <row r="763" spans="3:13" x14ac:dyDescent="0.2">
      <c r="C763" t="s">
        <v>90</v>
      </c>
      <c r="E763">
        <v>40</v>
      </c>
    </row>
    <row r="764" spans="3:13" x14ac:dyDescent="0.2">
      <c r="C764" t="s">
        <v>88</v>
      </c>
      <c r="F764">
        <v>24</v>
      </c>
      <c r="J764">
        <v>16</v>
      </c>
      <c r="M764">
        <v>11</v>
      </c>
    </row>
    <row r="765" spans="3:13" x14ac:dyDescent="0.2">
      <c r="C765" t="s">
        <v>89</v>
      </c>
      <c r="F765">
        <v>36</v>
      </c>
      <c r="J765">
        <v>23</v>
      </c>
      <c r="M765">
        <v>16</v>
      </c>
    </row>
    <row r="766" spans="3:13" x14ac:dyDescent="0.2">
      <c r="C766" t="s">
        <v>96</v>
      </c>
      <c r="F766">
        <v>2</v>
      </c>
    </row>
    <row r="767" spans="3:13" x14ac:dyDescent="0.2">
      <c r="C767" t="s">
        <v>77</v>
      </c>
      <c r="E767">
        <v>11</v>
      </c>
      <c r="F767">
        <v>11</v>
      </c>
      <c r="J767">
        <v>12</v>
      </c>
      <c r="M767">
        <v>11</v>
      </c>
    </row>
    <row r="768" spans="3:13" x14ac:dyDescent="0.2">
      <c r="C768" t="s">
        <v>78</v>
      </c>
      <c r="E768">
        <v>15</v>
      </c>
      <c r="F768">
        <v>15</v>
      </c>
      <c r="J768">
        <v>16</v>
      </c>
      <c r="M768">
        <v>13</v>
      </c>
    </row>
    <row r="769" spans="2:13" x14ac:dyDescent="0.2">
      <c r="C769" t="s">
        <v>94</v>
      </c>
      <c r="F769">
        <v>10</v>
      </c>
    </row>
    <row r="770" spans="2:13" x14ac:dyDescent="0.2">
      <c r="C770" t="s">
        <v>93</v>
      </c>
      <c r="F770">
        <v>10</v>
      </c>
    </row>
    <row r="771" spans="2:13" x14ac:dyDescent="0.2">
      <c r="C771" t="s">
        <v>87</v>
      </c>
      <c r="F771">
        <v>8</v>
      </c>
      <c r="G771" s="103">
        <f>3/4*F771+1/4*J771</f>
        <v>9</v>
      </c>
      <c r="H771" s="103">
        <f>2/4*F771+2/4*J771</f>
        <v>10</v>
      </c>
      <c r="I771" s="103">
        <f>1/4*F771+3/4*J771</f>
        <v>11</v>
      </c>
      <c r="J771">
        <v>12</v>
      </c>
      <c r="K771" s="103">
        <f t="shared" ref="K771" si="578">2/3*J771+1/3*M771</f>
        <v>12</v>
      </c>
      <c r="L771" s="103">
        <f t="shared" ref="L771" si="579">1/3*J771+2/3*M771</f>
        <v>12</v>
      </c>
      <c r="M771">
        <v>12</v>
      </c>
    </row>
    <row r="772" spans="2:13" x14ac:dyDescent="0.2">
      <c r="C772" t="s">
        <v>86</v>
      </c>
      <c r="E772">
        <v>9</v>
      </c>
      <c r="F772">
        <v>9</v>
      </c>
      <c r="G772" s="103">
        <f>3/4*F772+1/4*J772</f>
        <v>10</v>
      </c>
      <c r="H772" s="103">
        <f>2/4*F772+2/4*J772</f>
        <v>11</v>
      </c>
      <c r="I772" s="103">
        <f>1/4*F772+3/4*J772</f>
        <v>12</v>
      </c>
      <c r="J772">
        <v>13</v>
      </c>
      <c r="K772" s="103">
        <f t="shared" ref="K772" si="580">2/3*J772+1/3*M772</f>
        <v>13</v>
      </c>
      <c r="L772" s="103">
        <f t="shared" ref="L772" si="581">1/3*J772+2/3*M772</f>
        <v>13</v>
      </c>
      <c r="M772">
        <v>13</v>
      </c>
    </row>
    <row r="773" spans="2:13" x14ac:dyDescent="0.2">
      <c r="C773" t="s">
        <v>58</v>
      </c>
      <c r="E773" t="s">
        <v>59</v>
      </c>
    </row>
    <row r="774" spans="2:13" x14ac:dyDescent="0.2">
      <c r="C774" t="s">
        <v>61</v>
      </c>
      <c r="E774" t="s">
        <v>60</v>
      </c>
    </row>
    <row r="775" spans="2:13" x14ac:dyDescent="0.2">
      <c r="C775" t="s">
        <v>63</v>
      </c>
      <c r="M775" t="s">
        <v>64</v>
      </c>
    </row>
    <row r="776" spans="2:13" x14ac:dyDescent="0.2">
      <c r="C776" t="s">
        <v>65</v>
      </c>
      <c r="E776" s="8" t="s">
        <v>66</v>
      </c>
    </row>
    <row r="778" spans="2:13" ht="15" x14ac:dyDescent="0.25">
      <c r="B778" s="2" t="s">
        <v>127</v>
      </c>
    </row>
    <row r="779" spans="2:13" ht="15" x14ac:dyDescent="0.25">
      <c r="B779" s="2"/>
      <c r="C779" s="13" t="s">
        <v>126</v>
      </c>
    </row>
    <row r="780" spans="2:13" ht="15" x14ac:dyDescent="0.25">
      <c r="E780" s="2">
        <v>2011</v>
      </c>
    </row>
    <row r="781" spans="2:13" x14ac:dyDescent="0.2">
      <c r="C781" t="s">
        <v>23</v>
      </c>
      <c r="E781" s="7">
        <v>11</v>
      </c>
    </row>
    <row r="782" spans="2:13" x14ac:dyDescent="0.2">
      <c r="C782" t="s">
        <v>24</v>
      </c>
      <c r="E782">
        <v>20</v>
      </c>
    </row>
    <row r="783" spans="2:13" x14ac:dyDescent="0.2">
      <c r="C783" t="s">
        <v>33</v>
      </c>
      <c r="E783">
        <v>7</v>
      </c>
    </row>
    <row r="784" spans="2:13" x14ac:dyDescent="0.2">
      <c r="C784" t="s">
        <v>34</v>
      </c>
      <c r="E784">
        <v>180</v>
      </c>
    </row>
    <row r="785" spans="2:13" x14ac:dyDescent="0.2">
      <c r="C785" t="s">
        <v>38</v>
      </c>
      <c r="E785">
        <v>50</v>
      </c>
    </row>
    <row r="786" spans="2:13" x14ac:dyDescent="0.2">
      <c r="C786" t="s">
        <v>39</v>
      </c>
      <c r="E786">
        <v>100</v>
      </c>
    </row>
    <row r="787" spans="2:13" x14ac:dyDescent="0.2">
      <c r="C787" t="s">
        <v>8</v>
      </c>
      <c r="E787">
        <v>24</v>
      </c>
    </row>
    <row r="788" spans="2:13" x14ac:dyDescent="0.2">
      <c r="C788" t="s">
        <v>47</v>
      </c>
      <c r="E788">
        <v>120</v>
      </c>
    </row>
    <row r="789" spans="2:13" x14ac:dyDescent="0.2">
      <c r="C789" t="s">
        <v>51</v>
      </c>
      <c r="E789">
        <v>315</v>
      </c>
    </row>
    <row r="790" spans="2:13" x14ac:dyDescent="0.2">
      <c r="C790" t="s">
        <v>52</v>
      </c>
      <c r="E790">
        <v>330</v>
      </c>
    </row>
    <row r="791" spans="2:13" x14ac:dyDescent="0.2">
      <c r="C791" t="s">
        <v>56</v>
      </c>
      <c r="E791">
        <v>425</v>
      </c>
    </row>
    <row r="792" spans="2:13" x14ac:dyDescent="0.2">
      <c r="C792" t="s">
        <v>65</v>
      </c>
      <c r="E792">
        <v>24</v>
      </c>
    </row>
    <row r="793" spans="2:13" x14ac:dyDescent="0.2">
      <c r="C793" t="s">
        <v>62</v>
      </c>
      <c r="E793">
        <v>900</v>
      </c>
    </row>
    <row r="795" spans="2:13" ht="15" x14ac:dyDescent="0.25">
      <c r="B795" s="2" t="s">
        <v>147</v>
      </c>
    </row>
    <row r="796" spans="2:13" x14ac:dyDescent="0.2">
      <c r="C796" s="13" t="s">
        <v>128</v>
      </c>
    </row>
    <row r="797" spans="2:13" x14ac:dyDescent="0.2">
      <c r="C797" t="s">
        <v>26</v>
      </c>
      <c r="J797">
        <v>1.2</v>
      </c>
      <c r="M797">
        <v>2</v>
      </c>
    </row>
    <row r="798" spans="2:13" x14ac:dyDescent="0.2">
      <c r="C798" t="s">
        <v>27</v>
      </c>
      <c r="M798">
        <v>3</v>
      </c>
    </row>
    <row r="799" spans="2:13" x14ac:dyDescent="0.2">
      <c r="C799" t="s">
        <v>28</v>
      </c>
      <c r="M799">
        <v>4</v>
      </c>
    </row>
    <row r="800" spans="2:13" x14ac:dyDescent="0.2">
      <c r="C800" t="s">
        <v>29</v>
      </c>
      <c r="M800">
        <v>-2</v>
      </c>
    </row>
    <row r="801" spans="3:13" x14ac:dyDescent="0.2">
      <c r="C801" t="s">
        <v>30</v>
      </c>
      <c r="J801">
        <v>0.6</v>
      </c>
      <c r="M801">
        <v>1</v>
      </c>
    </row>
    <row r="802" spans="3:13" x14ac:dyDescent="0.2">
      <c r="C802" t="s">
        <v>31</v>
      </c>
      <c r="M802">
        <v>1.5</v>
      </c>
    </row>
    <row r="803" spans="3:13" x14ac:dyDescent="0.2">
      <c r="C803" t="s">
        <v>32</v>
      </c>
      <c r="M803">
        <v>2</v>
      </c>
    </row>
    <row r="804" spans="3:13" x14ac:dyDescent="0.2">
      <c r="C804" t="s">
        <v>121</v>
      </c>
      <c r="M804" s="17">
        <f>M799+M803+M800</f>
        <v>4</v>
      </c>
    </row>
    <row r="805" spans="3:13" x14ac:dyDescent="0.2">
      <c r="C805" t="s">
        <v>122</v>
      </c>
      <c r="J805">
        <v>2.5</v>
      </c>
      <c r="M805">
        <v>2.5</v>
      </c>
    </row>
    <row r="806" spans="3:13" x14ac:dyDescent="0.2">
      <c r="C806" t="s">
        <v>123</v>
      </c>
      <c r="M806">
        <v>3</v>
      </c>
    </row>
    <row r="807" spans="3:13" x14ac:dyDescent="0.2">
      <c r="C807" t="s">
        <v>124</v>
      </c>
      <c r="M807">
        <v>4</v>
      </c>
    </row>
    <row r="808" spans="3:13" x14ac:dyDescent="0.2">
      <c r="C808" t="s">
        <v>40</v>
      </c>
      <c r="J808">
        <v>0.8</v>
      </c>
      <c r="M808">
        <v>3.5</v>
      </c>
    </row>
    <row r="809" spans="3:13" x14ac:dyDescent="0.2">
      <c r="C809" t="s">
        <v>41</v>
      </c>
      <c r="M809">
        <v>8.5</v>
      </c>
    </row>
    <row r="810" spans="3:13" x14ac:dyDescent="0.2">
      <c r="C810" t="s">
        <v>42</v>
      </c>
      <c r="M810">
        <v>14</v>
      </c>
    </row>
    <row r="811" spans="3:13" x14ac:dyDescent="0.2">
      <c r="C811" t="s">
        <v>43</v>
      </c>
      <c r="M811">
        <v>18</v>
      </c>
    </row>
    <row r="812" spans="3:13" x14ac:dyDescent="0.2">
      <c r="C812" t="s">
        <v>44</v>
      </c>
      <c r="J812">
        <v>0.7</v>
      </c>
      <c r="M812">
        <v>2</v>
      </c>
    </row>
    <row r="813" spans="3:13" x14ac:dyDescent="0.2">
      <c r="C813" t="s">
        <v>45</v>
      </c>
      <c r="M813">
        <v>3</v>
      </c>
    </row>
    <row r="814" spans="3:13" x14ac:dyDescent="0.2">
      <c r="C814" t="s">
        <v>46</v>
      </c>
      <c r="M814">
        <v>4</v>
      </c>
    </row>
    <row r="815" spans="3:13" x14ac:dyDescent="0.2">
      <c r="C815" t="s">
        <v>48</v>
      </c>
      <c r="J815">
        <v>0.4</v>
      </c>
      <c r="M815">
        <v>2</v>
      </c>
    </row>
    <row r="816" spans="3:13" x14ac:dyDescent="0.2">
      <c r="C816" t="s">
        <v>49</v>
      </c>
      <c r="M816">
        <v>3</v>
      </c>
    </row>
    <row r="817" spans="2:13" x14ac:dyDescent="0.2">
      <c r="C817" t="s">
        <v>50</v>
      </c>
      <c r="M817" s="18">
        <v>4</v>
      </c>
    </row>
    <row r="818" spans="2:13" x14ac:dyDescent="0.2">
      <c r="C818" t="s">
        <v>53</v>
      </c>
      <c r="J818">
        <v>2</v>
      </c>
    </row>
    <row r="819" spans="2:13" x14ac:dyDescent="0.2">
      <c r="C819" t="s">
        <v>54</v>
      </c>
    </row>
    <row r="820" spans="2:13" x14ac:dyDescent="0.2">
      <c r="C820" t="s">
        <v>55</v>
      </c>
      <c r="M820">
        <v>6</v>
      </c>
    </row>
    <row r="821" spans="2:13" x14ac:dyDescent="0.2">
      <c r="C821" t="s">
        <v>57</v>
      </c>
      <c r="M821">
        <v>20</v>
      </c>
    </row>
    <row r="824" spans="2:13" ht="15" x14ac:dyDescent="0.25">
      <c r="B824" s="2" t="s">
        <v>97</v>
      </c>
    </row>
    <row r="825" spans="2:13" ht="15" x14ac:dyDescent="0.25">
      <c r="B825" s="2"/>
    </row>
    <row r="826" spans="2:13" x14ac:dyDescent="0.2">
      <c r="D826" s="9" t="s">
        <v>98</v>
      </c>
      <c r="E826" t="s">
        <v>103</v>
      </c>
      <c r="F826" t="s">
        <v>113</v>
      </c>
      <c r="G826" t="s">
        <v>116</v>
      </c>
    </row>
    <row r="827" spans="2:13" x14ac:dyDescent="0.2">
      <c r="C827" t="s">
        <v>99</v>
      </c>
      <c r="D827">
        <v>4400</v>
      </c>
      <c r="E827" t="s">
        <v>114</v>
      </c>
      <c r="F827" s="10" t="s">
        <v>115</v>
      </c>
    </row>
    <row r="828" spans="2:13" x14ac:dyDescent="0.2">
      <c r="C828" t="s">
        <v>100</v>
      </c>
      <c r="D828">
        <v>2200</v>
      </c>
      <c r="E828" t="s">
        <v>114</v>
      </c>
      <c r="F828" s="10" t="s">
        <v>115</v>
      </c>
    </row>
    <row r="829" spans="2:13" x14ac:dyDescent="0.2">
      <c r="C829" t="s">
        <v>101</v>
      </c>
      <c r="D829" t="s">
        <v>102</v>
      </c>
      <c r="E829" t="s">
        <v>112</v>
      </c>
      <c r="G829" s="11" t="s">
        <v>117</v>
      </c>
    </row>
    <row r="830" spans="2:13" x14ac:dyDescent="0.2">
      <c r="C830" t="s">
        <v>7</v>
      </c>
      <c r="D830">
        <v>950</v>
      </c>
      <c r="E830" t="s">
        <v>111</v>
      </c>
      <c r="G830" s="12" t="s">
        <v>118</v>
      </c>
    </row>
    <row r="831" spans="2:13" x14ac:dyDescent="0.2">
      <c r="C831" t="s">
        <v>8</v>
      </c>
      <c r="D831" t="s">
        <v>104</v>
      </c>
      <c r="E831" t="s">
        <v>105</v>
      </c>
    </row>
    <row r="832" spans="2:13" x14ac:dyDescent="0.2">
      <c r="C832" t="s">
        <v>47</v>
      </c>
      <c r="D832" t="s">
        <v>106</v>
      </c>
    </row>
    <row r="833" spans="2:14" x14ac:dyDescent="0.2">
      <c r="C833" t="s">
        <v>6</v>
      </c>
      <c r="D833" t="s">
        <v>107</v>
      </c>
      <c r="E833" t="s">
        <v>108</v>
      </c>
      <c r="G833" s="12" t="s">
        <v>119</v>
      </c>
    </row>
    <row r="834" spans="2:14" x14ac:dyDescent="0.2">
      <c r="C834" t="s">
        <v>56</v>
      </c>
      <c r="D834" t="s">
        <v>109</v>
      </c>
      <c r="G834" t="s">
        <v>120</v>
      </c>
    </row>
    <row r="835" spans="2:14" x14ac:dyDescent="0.2">
      <c r="C835" t="s">
        <v>110</v>
      </c>
      <c r="D835">
        <v>8000</v>
      </c>
    </row>
    <row r="838" spans="2:14" ht="15" x14ac:dyDescent="0.25">
      <c r="B838" s="2" t="s">
        <v>152</v>
      </c>
    </row>
    <row r="839" spans="2:14" ht="15" x14ac:dyDescent="0.25">
      <c r="C839" s="13" t="s">
        <v>128</v>
      </c>
      <c r="E839" s="2" t="s">
        <v>157</v>
      </c>
      <c r="F839" s="2">
        <v>2015</v>
      </c>
      <c r="G839" s="2">
        <v>2020</v>
      </c>
      <c r="H839" s="2">
        <v>2025</v>
      </c>
      <c r="I839" s="2">
        <v>2030</v>
      </c>
      <c r="J839" s="2">
        <v>2035</v>
      </c>
      <c r="K839" s="2">
        <v>2040</v>
      </c>
      <c r="L839" s="2">
        <v>2045</v>
      </c>
      <c r="M839" s="2">
        <v>2050</v>
      </c>
    </row>
    <row r="840" spans="2:14" ht="15" x14ac:dyDescent="0.25">
      <c r="C840" t="s">
        <v>134</v>
      </c>
      <c r="G840">
        <f>0.2*(SUM(J843:J847)-2)</f>
        <v>0.84000000000000008</v>
      </c>
      <c r="J840" s="4">
        <v>0.5</v>
      </c>
      <c r="K840" s="4"/>
      <c r="L840" s="4"/>
      <c r="M840" s="4">
        <v>1</v>
      </c>
      <c r="N840" s="16"/>
    </row>
    <row r="841" spans="2:14" ht="15" x14ac:dyDescent="0.25">
      <c r="C841" t="s">
        <v>135</v>
      </c>
      <c r="J841" s="4">
        <v>0.7</v>
      </c>
      <c r="K841" s="4"/>
      <c r="L841" s="4"/>
      <c r="M841" s="4">
        <v>1</v>
      </c>
      <c r="N841" s="16"/>
    </row>
    <row r="842" spans="2:14" ht="15" x14ac:dyDescent="0.25">
      <c r="C842" t="s">
        <v>136</v>
      </c>
      <c r="J842" s="4">
        <v>0.6</v>
      </c>
      <c r="K842" s="4"/>
      <c r="L842" s="4"/>
      <c r="M842" s="4">
        <v>1</v>
      </c>
      <c r="N842" s="16"/>
    </row>
    <row r="843" spans="2:14" ht="15" x14ac:dyDescent="0.25">
      <c r="C843" t="s">
        <v>146</v>
      </c>
      <c r="E843">
        <v>34.5</v>
      </c>
      <c r="J843" s="19">
        <f>SUM(J840:J842)</f>
        <v>1.7999999999999998</v>
      </c>
      <c r="K843" s="4"/>
      <c r="L843" s="4"/>
      <c r="M843" s="19">
        <f>SUM(M840:M842)</f>
        <v>3</v>
      </c>
      <c r="N843" s="16" t="s">
        <v>153</v>
      </c>
    </row>
    <row r="844" spans="2:14" ht="15" x14ac:dyDescent="0.25">
      <c r="C844" t="s">
        <v>35</v>
      </c>
      <c r="E844">
        <v>1.3</v>
      </c>
      <c r="J844" s="4">
        <v>2.5</v>
      </c>
      <c r="K844" s="4"/>
      <c r="L844" s="4"/>
      <c r="M844" s="4">
        <v>2.5</v>
      </c>
      <c r="N844" s="16" t="s">
        <v>148</v>
      </c>
    </row>
    <row r="845" spans="2:14" ht="15" x14ac:dyDescent="0.25">
      <c r="C845" t="s">
        <v>40</v>
      </c>
      <c r="E845">
        <v>0.08</v>
      </c>
      <c r="J845" s="4">
        <v>0.8</v>
      </c>
      <c r="K845" s="4"/>
      <c r="L845" s="4"/>
      <c r="M845" s="4">
        <v>3.5</v>
      </c>
      <c r="N845" s="16" t="s">
        <v>148</v>
      </c>
    </row>
    <row r="846" spans="2:14" ht="15" x14ac:dyDescent="0.25">
      <c r="C846" t="s">
        <v>44</v>
      </c>
      <c r="E846">
        <v>0.04</v>
      </c>
      <c r="J846" s="4">
        <v>0.7</v>
      </c>
      <c r="K846" s="4"/>
      <c r="L846" s="4"/>
      <c r="M846" s="4">
        <v>2</v>
      </c>
      <c r="N846" s="16" t="s">
        <v>148</v>
      </c>
    </row>
    <row r="847" spans="2:14" ht="15" x14ac:dyDescent="0.25">
      <c r="C847" s="29" t="s">
        <v>48</v>
      </c>
      <c r="D847" s="29"/>
      <c r="E847" s="29">
        <v>0</v>
      </c>
      <c r="F847" s="29"/>
      <c r="G847" s="29"/>
      <c r="H847" s="29"/>
      <c r="I847" s="29"/>
      <c r="J847" s="30">
        <v>0.4</v>
      </c>
      <c r="K847" s="30"/>
      <c r="L847" s="30"/>
      <c r="M847" s="30">
        <v>2</v>
      </c>
      <c r="N847" s="16" t="s">
        <v>148</v>
      </c>
    </row>
    <row r="848" spans="2:14" ht="15" x14ac:dyDescent="0.25">
      <c r="C848" s="14" t="s">
        <v>171</v>
      </c>
      <c r="D848" s="14"/>
      <c r="E848" s="14"/>
      <c r="F848" s="14">
        <v>0.3</v>
      </c>
      <c r="G848" s="14">
        <v>0.6</v>
      </c>
      <c r="H848" s="14">
        <v>0.9</v>
      </c>
      <c r="I848" s="14"/>
      <c r="J848" s="15">
        <v>1.9</v>
      </c>
      <c r="K848" s="15"/>
      <c r="L848" s="15"/>
      <c r="M848" s="15">
        <v>5.7</v>
      </c>
      <c r="N848" s="16"/>
    </row>
    <row r="849" spans="3:14" x14ac:dyDescent="0.2">
      <c r="C849" t="s">
        <v>137</v>
      </c>
      <c r="J849" s="4">
        <v>1</v>
      </c>
      <c r="K849" s="4"/>
      <c r="L849" s="4"/>
      <c r="M849" s="4">
        <v>1.5</v>
      </c>
    </row>
    <row r="850" spans="3:14" x14ac:dyDescent="0.2">
      <c r="C850" t="s">
        <v>138</v>
      </c>
      <c r="J850" s="4">
        <v>1</v>
      </c>
      <c r="K850" s="4"/>
      <c r="L850" s="4"/>
      <c r="M850" s="4">
        <v>1.5</v>
      </c>
    </row>
    <row r="851" spans="3:14" x14ac:dyDescent="0.2">
      <c r="C851" t="s">
        <v>139</v>
      </c>
      <c r="J851" s="4">
        <v>1</v>
      </c>
      <c r="K851" s="4"/>
      <c r="L851" s="4"/>
      <c r="M851" s="4">
        <v>1.5</v>
      </c>
    </row>
    <row r="852" spans="3:14" ht="15" x14ac:dyDescent="0.25">
      <c r="C852" t="s">
        <v>145</v>
      </c>
      <c r="E852" s="20">
        <f>E843</f>
        <v>34.5</v>
      </c>
      <c r="J852" s="19">
        <f>SUM(J849:J851)</f>
        <v>3</v>
      </c>
      <c r="K852" s="4"/>
      <c r="L852" s="4"/>
      <c r="M852" s="19">
        <f>SUM(M849:M851)</f>
        <v>4.5</v>
      </c>
      <c r="N852" s="16" t="s">
        <v>154</v>
      </c>
    </row>
    <row r="853" spans="3:14" ht="15" x14ac:dyDescent="0.25">
      <c r="C853" t="s">
        <v>36</v>
      </c>
      <c r="E853" s="20">
        <f>E844</f>
        <v>1.3</v>
      </c>
      <c r="J853" s="4">
        <v>3.1</v>
      </c>
      <c r="K853" s="4"/>
      <c r="L853" s="4"/>
      <c r="M853" s="4">
        <v>3</v>
      </c>
      <c r="N853" s="16" t="s">
        <v>149</v>
      </c>
    </row>
    <row r="854" spans="3:14" ht="15" x14ac:dyDescent="0.25">
      <c r="C854" t="s">
        <v>41</v>
      </c>
      <c r="E854" s="20">
        <f>E845</f>
        <v>0.08</v>
      </c>
      <c r="J854" s="4">
        <v>1.4</v>
      </c>
      <c r="K854" s="4"/>
      <c r="L854" s="4"/>
      <c r="M854" s="4">
        <v>8.4</v>
      </c>
      <c r="N854" s="16" t="s">
        <v>149</v>
      </c>
    </row>
    <row r="855" spans="3:14" ht="15" x14ac:dyDescent="0.25">
      <c r="C855" t="s">
        <v>45</v>
      </c>
      <c r="E855" s="20">
        <f>E846</f>
        <v>0.04</v>
      </c>
      <c r="J855" s="4">
        <v>1.1000000000000001</v>
      </c>
      <c r="K855" s="4"/>
      <c r="L855" s="4"/>
      <c r="M855" s="4">
        <v>3</v>
      </c>
      <c r="N855" s="16" t="s">
        <v>149</v>
      </c>
    </row>
    <row r="856" spans="3:14" ht="15" x14ac:dyDescent="0.25">
      <c r="C856" s="29" t="s">
        <v>49</v>
      </c>
      <c r="D856" s="29"/>
      <c r="E856" s="31">
        <f>E847</f>
        <v>0</v>
      </c>
      <c r="F856" s="29"/>
      <c r="G856" s="29"/>
      <c r="H856" s="29"/>
      <c r="I856" s="29"/>
      <c r="J856" s="30">
        <v>1</v>
      </c>
      <c r="K856" s="30"/>
      <c r="L856" s="30"/>
      <c r="M856" s="30">
        <v>4</v>
      </c>
      <c r="N856" s="16" t="s">
        <v>149</v>
      </c>
    </row>
    <row r="857" spans="3:14" ht="15" x14ac:dyDescent="0.25">
      <c r="C857" s="14" t="s">
        <v>171</v>
      </c>
      <c r="D857" s="14"/>
      <c r="E857" s="14"/>
      <c r="F857" s="14">
        <v>0.3</v>
      </c>
      <c r="G857" s="14">
        <v>0.7</v>
      </c>
      <c r="H857" s="14">
        <v>1.3</v>
      </c>
      <c r="I857" s="14"/>
      <c r="J857" s="15">
        <v>3</v>
      </c>
      <c r="K857" s="15"/>
      <c r="L857" s="15"/>
      <c r="M857" s="15">
        <v>11.9</v>
      </c>
      <c r="N857" s="16"/>
    </row>
    <row r="858" spans="3:14" x14ac:dyDescent="0.2">
      <c r="C858" t="s">
        <v>140</v>
      </c>
      <c r="J858" s="4">
        <v>1.4</v>
      </c>
      <c r="K858" s="4"/>
      <c r="L858" s="4"/>
      <c r="M858" s="4">
        <v>2</v>
      </c>
    </row>
    <row r="859" spans="3:14" x14ac:dyDescent="0.2">
      <c r="C859" t="s">
        <v>141</v>
      </c>
      <c r="J859" s="4">
        <v>1.1000000000000001</v>
      </c>
      <c r="K859" s="4"/>
      <c r="L859" s="4"/>
      <c r="M859" s="4">
        <v>2</v>
      </c>
    </row>
    <row r="860" spans="3:14" x14ac:dyDescent="0.2">
      <c r="C860" t="s">
        <v>142</v>
      </c>
      <c r="J860" s="4">
        <v>1.3</v>
      </c>
      <c r="K860" s="4"/>
      <c r="L860" s="4"/>
      <c r="M860" s="4">
        <v>2</v>
      </c>
    </row>
    <row r="861" spans="3:14" ht="15" x14ac:dyDescent="0.25">
      <c r="C861" t="s">
        <v>144</v>
      </c>
      <c r="E861" s="20">
        <f>E852</f>
        <v>34.5</v>
      </c>
      <c r="J861" s="19">
        <f>SUM(J858:J860)</f>
        <v>3.8</v>
      </c>
      <c r="K861" s="4"/>
      <c r="L861" s="4"/>
      <c r="M861" s="19">
        <f>SUM(M858:M860)</f>
        <v>6</v>
      </c>
      <c r="N861" s="16" t="s">
        <v>151</v>
      </c>
    </row>
    <row r="862" spans="3:14" ht="15" x14ac:dyDescent="0.25">
      <c r="C862" t="s">
        <v>37</v>
      </c>
      <c r="E862" s="20">
        <f>E853</f>
        <v>1.3</v>
      </c>
      <c r="J862" s="4">
        <v>4</v>
      </c>
      <c r="K862" s="4"/>
      <c r="L862" s="4"/>
      <c r="M862" s="4">
        <v>4</v>
      </c>
      <c r="N862" s="16" t="s">
        <v>150</v>
      </c>
    </row>
    <row r="863" spans="3:14" ht="15" x14ac:dyDescent="0.25">
      <c r="C863" t="s">
        <v>143</v>
      </c>
      <c r="E863" s="20">
        <f>E854</f>
        <v>0.08</v>
      </c>
      <c r="J863" s="4">
        <v>2</v>
      </c>
      <c r="K863" s="4"/>
      <c r="L863" s="4"/>
      <c r="M863" s="4">
        <v>14.1</v>
      </c>
      <c r="N863" s="16" t="s">
        <v>150</v>
      </c>
    </row>
    <row r="864" spans="3:14" ht="15" x14ac:dyDescent="0.25">
      <c r="C864" t="s">
        <v>46</v>
      </c>
      <c r="E864" s="20">
        <f>E855</f>
        <v>0.04</v>
      </c>
      <c r="J864" s="4">
        <v>1.5</v>
      </c>
      <c r="K864" s="4"/>
      <c r="L864" s="4"/>
      <c r="M864" s="4">
        <v>4</v>
      </c>
      <c r="N864" s="16" t="s">
        <v>150</v>
      </c>
    </row>
    <row r="865" spans="2:14" ht="15" x14ac:dyDescent="0.25">
      <c r="C865" t="s">
        <v>50</v>
      </c>
      <c r="E865" s="20">
        <f>E856</f>
        <v>0</v>
      </c>
      <c r="J865" s="4">
        <v>1</v>
      </c>
      <c r="K865" s="4"/>
      <c r="L865" s="4"/>
      <c r="M865" s="4">
        <v>4</v>
      </c>
      <c r="N865" s="16" t="s">
        <v>150</v>
      </c>
    </row>
    <row r="866" spans="2:14" ht="15" x14ac:dyDescent="0.25">
      <c r="C866" s="14" t="s">
        <v>171</v>
      </c>
      <c r="D866" s="14"/>
      <c r="E866" s="14"/>
      <c r="F866" s="14">
        <v>0.4</v>
      </c>
      <c r="G866" s="14">
        <v>0.9</v>
      </c>
      <c r="H866" s="14">
        <v>1.6</v>
      </c>
      <c r="I866" s="14"/>
      <c r="J866" s="15">
        <v>4</v>
      </c>
      <c r="K866" s="15"/>
      <c r="L866" s="15"/>
      <c r="M866" s="15">
        <v>18.8</v>
      </c>
      <c r="N866" s="16"/>
    </row>
    <row r="869" spans="2:14" ht="15" x14ac:dyDescent="0.25">
      <c r="B869" s="2" t="s">
        <v>172</v>
      </c>
    </row>
    <row r="870" spans="2:14" ht="15" x14ac:dyDescent="0.25">
      <c r="C870" s="13" t="s">
        <v>128</v>
      </c>
      <c r="E870" s="2">
        <v>2011</v>
      </c>
      <c r="F870" s="2">
        <v>2015</v>
      </c>
      <c r="G870" s="2">
        <v>2020</v>
      </c>
      <c r="H870" s="2">
        <v>2025</v>
      </c>
      <c r="I870" s="2">
        <v>2030</v>
      </c>
      <c r="J870" s="2">
        <v>2035</v>
      </c>
      <c r="K870" s="2">
        <v>2040</v>
      </c>
      <c r="L870" s="2">
        <v>2045</v>
      </c>
      <c r="M870" s="2">
        <v>2050</v>
      </c>
    </row>
    <row r="871" spans="2:14" x14ac:dyDescent="0.2">
      <c r="C871" s="14" t="s">
        <v>65</v>
      </c>
      <c r="D871" s="14"/>
      <c r="E871" s="22">
        <v>25</v>
      </c>
      <c r="F871" s="22">
        <v>25</v>
      </c>
      <c r="G871" s="22">
        <v>22</v>
      </c>
      <c r="H871" s="22">
        <v>16</v>
      </c>
      <c r="I871" s="22">
        <v>9</v>
      </c>
      <c r="J871" s="22">
        <v>0</v>
      </c>
      <c r="K871" s="22"/>
      <c r="L871" s="22"/>
      <c r="M871" s="22">
        <v>0</v>
      </c>
    </row>
    <row r="872" spans="2:14" x14ac:dyDescent="0.2">
      <c r="C872" t="s">
        <v>134</v>
      </c>
      <c r="E872">
        <v>20</v>
      </c>
      <c r="F872">
        <v>19</v>
      </c>
      <c r="G872">
        <v>19</v>
      </c>
      <c r="H872">
        <v>19</v>
      </c>
      <c r="I872">
        <v>19</v>
      </c>
      <c r="J872">
        <v>18</v>
      </c>
      <c r="K872" s="103">
        <f>2/3*J872+1/3*M872</f>
        <v>18.033333333333331</v>
      </c>
      <c r="L872" s="103">
        <f>1/3*J872+2/3*M872</f>
        <v>18.066666666666666</v>
      </c>
      <c r="M872">
        <v>18.100000000000001</v>
      </c>
    </row>
    <row r="873" spans="2:14" x14ac:dyDescent="0.2">
      <c r="C873" t="s">
        <v>135</v>
      </c>
      <c r="E873">
        <v>15</v>
      </c>
      <c r="F873">
        <v>16</v>
      </c>
      <c r="G873">
        <v>16</v>
      </c>
      <c r="H873">
        <v>16</v>
      </c>
      <c r="I873">
        <v>16</v>
      </c>
      <c r="J873">
        <v>17</v>
      </c>
      <c r="K873" s="103">
        <f t="shared" ref="K873:K878" si="582">2/3*J873+1/3*M873</f>
        <v>17</v>
      </c>
      <c r="L873" s="103">
        <f t="shared" ref="L873:L878" si="583">1/3*J873+2/3*M873</f>
        <v>17</v>
      </c>
      <c r="M873">
        <v>17</v>
      </c>
    </row>
    <row r="874" spans="2:14" ht="15" x14ac:dyDescent="0.25">
      <c r="C874" t="s">
        <v>155</v>
      </c>
      <c r="E874" s="20">
        <f>E844+E847</f>
        <v>1.3</v>
      </c>
      <c r="F874" s="105">
        <f>4/5*E874+1/5*J874</f>
        <v>1.8800000000000001</v>
      </c>
      <c r="G874" s="105">
        <f>3/5*E874+2/5*J874</f>
        <v>2.46</v>
      </c>
      <c r="H874" s="105">
        <f>2/5*E874+3/5*J874</f>
        <v>3.04</v>
      </c>
      <c r="I874" s="105">
        <f>1/5*E874+4/5*J874</f>
        <v>3.62</v>
      </c>
      <c r="J874" s="19">
        <f>J844+J847+E874</f>
        <v>4.2</v>
      </c>
      <c r="K874" s="103">
        <f t="shared" si="582"/>
        <v>4.7333333333333325</v>
      </c>
      <c r="L874" s="103">
        <f t="shared" si="583"/>
        <v>5.2666666666666657</v>
      </c>
      <c r="M874" s="161">
        <f>M844+E874+M847</f>
        <v>5.8</v>
      </c>
      <c r="N874" s="28" t="s">
        <v>973</v>
      </c>
    </row>
    <row r="875" spans="2:14" x14ac:dyDescent="0.2">
      <c r="C875" t="s">
        <v>44</v>
      </c>
      <c r="E875" s="20">
        <f>E846</f>
        <v>0.04</v>
      </c>
      <c r="F875" s="105">
        <f t="shared" ref="F875:F876" si="584">4/5*E875+1/5*J875</f>
        <v>0.18</v>
      </c>
      <c r="G875" s="105">
        <f t="shared" ref="G875:G876" si="585">3/5*E875+2/5*J875</f>
        <v>0.32</v>
      </c>
      <c r="H875" s="105">
        <f t="shared" ref="H875:H876" si="586">2/5*E875+3/5*J875</f>
        <v>0.46</v>
      </c>
      <c r="I875" s="105">
        <f t="shared" ref="I875:I876" si="587">1/5*E875+4/5*J875</f>
        <v>0.6</v>
      </c>
      <c r="J875" s="19">
        <f>J846+E875</f>
        <v>0.74</v>
      </c>
      <c r="K875" s="103">
        <f t="shared" si="582"/>
        <v>1.1733333333333333</v>
      </c>
      <c r="L875" s="103">
        <f t="shared" si="583"/>
        <v>1.6066666666666665</v>
      </c>
      <c r="M875" s="19">
        <f>M846+E875</f>
        <v>2.04</v>
      </c>
    </row>
    <row r="876" spans="2:14" x14ac:dyDescent="0.2">
      <c r="C876" t="s">
        <v>40</v>
      </c>
      <c r="E876" s="20">
        <f>E845</f>
        <v>0.08</v>
      </c>
      <c r="F876" s="105">
        <f t="shared" si="584"/>
        <v>0.24000000000000002</v>
      </c>
      <c r="G876" s="105">
        <f t="shared" si="585"/>
        <v>0.4</v>
      </c>
      <c r="H876" s="105">
        <f t="shared" si="586"/>
        <v>0.56000000000000005</v>
      </c>
      <c r="I876" s="105">
        <f t="shared" si="587"/>
        <v>0.72000000000000008</v>
      </c>
      <c r="J876" s="19">
        <f>J845+E876</f>
        <v>0.88</v>
      </c>
      <c r="K876" s="103">
        <f t="shared" si="582"/>
        <v>1.78</v>
      </c>
      <c r="L876" s="103">
        <f t="shared" si="583"/>
        <v>2.68</v>
      </c>
      <c r="M876" s="37">
        <f>M845+E876</f>
        <v>3.58</v>
      </c>
    </row>
    <row r="877" spans="2:14" x14ac:dyDescent="0.2">
      <c r="C877" t="s">
        <v>158</v>
      </c>
      <c r="E877">
        <v>4</v>
      </c>
      <c r="F877" s="103">
        <f t="shared" ref="F877" si="588">2/3*E877+1/3*H877</f>
        <v>5.333333333333333</v>
      </c>
      <c r="G877" s="103">
        <f t="shared" ref="G877" si="589">1/3*E877+2/3*H877</f>
        <v>6.6666666666666661</v>
      </c>
      <c r="H877">
        <v>8</v>
      </c>
      <c r="I877">
        <v>13</v>
      </c>
      <c r="J877">
        <v>20</v>
      </c>
      <c r="K877" s="103">
        <f t="shared" si="582"/>
        <v>18.466666666666665</v>
      </c>
      <c r="L877" s="103">
        <f t="shared" si="583"/>
        <v>16.93333333333333</v>
      </c>
      <c r="M877">
        <v>15.4</v>
      </c>
    </row>
    <row r="878" spans="2:14" x14ac:dyDescent="0.2">
      <c r="C878" s="14" t="s">
        <v>156</v>
      </c>
      <c r="D878" s="14"/>
      <c r="E878" s="14"/>
      <c r="F878" s="14">
        <v>6</v>
      </c>
      <c r="G878" s="14">
        <v>11</v>
      </c>
      <c r="H878" s="14">
        <v>12</v>
      </c>
      <c r="I878" s="14">
        <v>15</v>
      </c>
      <c r="J878" s="14">
        <v>18</v>
      </c>
      <c r="K878" s="104">
        <f t="shared" si="582"/>
        <v>19.333333333333332</v>
      </c>
      <c r="L878" s="104">
        <f t="shared" si="583"/>
        <v>20.666666666666664</v>
      </c>
      <c r="M878" s="14">
        <v>22</v>
      </c>
    </row>
    <row r="879" spans="2:14" x14ac:dyDescent="0.2">
      <c r="C879" t="s">
        <v>137</v>
      </c>
      <c r="E879">
        <v>20</v>
      </c>
      <c r="F879">
        <v>19</v>
      </c>
      <c r="G879">
        <v>19</v>
      </c>
      <c r="H879">
        <v>19</v>
      </c>
      <c r="I879">
        <v>19</v>
      </c>
      <c r="J879">
        <v>19</v>
      </c>
      <c r="K879" s="103">
        <f>2/3*J879+1/3*M879</f>
        <v>18.666666666666664</v>
      </c>
      <c r="L879" s="103">
        <f>1/3*J879+2/3*M879</f>
        <v>18.333333333333332</v>
      </c>
      <c r="M879">
        <v>18</v>
      </c>
    </row>
    <row r="880" spans="2:14" x14ac:dyDescent="0.2">
      <c r="C880" t="s">
        <v>138</v>
      </c>
      <c r="E880">
        <v>15</v>
      </c>
      <c r="F880">
        <v>16</v>
      </c>
      <c r="G880">
        <v>16</v>
      </c>
      <c r="H880">
        <v>17</v>
      </c>
      <c r="I880">
        <v>17</v>
      </c>
      <c r="J880">
        <v>17</v>
      </c>
      <c r="K880" s="103">
        <f t="shared" ref="K880:K885" si="590">2/3*J880+1/3*M880</f>
        <v>17.333333333333332</v>
      </c>
      <c r="L880" s="103">
        <f t="shared" ref="L880:L885" si="591">1/3*J880+2/3*M880</f>
        <v>17.666666666666664</v>
      </c>
      <c r="M880">
        <v>18</v>
      </c>
    </row>
    <row r="881" spans="2:14" ht="15" x14ac:dyDescent="0.25">
      <c r="C881" t="s">
        <v>159</v>
      </c>
      <c r="E881" s="20">
        <f>E874</f>
        <v>1.3</v>
      </c>
      <c r="F881" s="105">
        <f>4/5*E881+1/5*J881</f>
        <v>2.12</v>
      </c>
      <c r="G881" s="105">
        <f>3/5*E881+2/5*J881</f>
        <v>2.9399999999999995</v>
      </c>
      <c r="H881" s="105">
        <f>2/5*E881+3/5*J881</f>
        <v>3.76</v>
      </c>
      <c r="I881" s="105">
        <f>1/5*E881+4/5*J881</f>
        <v>4.5799999999999992</v>
      </c>
      <c r="J881" s="21">
        <f>J853+J856+E881</f>
        <v>5.3999999999999995</v>
      </c>
      <c r="K881" s="103">
        <f t="shared" si="590"/>
        <v>6.3666666666666663</v>
      </c>
      <c r="L881" s="103">
        <f t="shared" si="591"/>
        <v>7.333333333333333</v>
      </c>
      <c r="M881" s="21">
        <f>M853+M856+E881</f>
        <v>8.3000000000000007</v>
      </c>
      <c r="N881" s="2" t="s">
        <v>974</v>
      </c>
    </row>
    <row r="882" spans="2:14" x14ac:dyDescent="0.2">
      <c r="C882" t="s">
        <v>45</v>
      </c>
      <c r="E882" s="20">
        <f>E875</f>
        <v>0.04</v>
      </c>
      <c r="F882" s="105">
        <f t="shared" ref="F882:F883" si="592">4/5*E882+1/5*J882</f>
        <v>0.26</v>
      </c>
      <c r="G882" s="105">
        <f t="shared" ref="G882:G883" si="593">3/5*E882+2/5*J882</f>
        <v>0.48000000000000009</v>
      </c>
      <c r="H882" s="105">
        <f t="shared" ref="H882:H883" si="594">2/5*E882+3/5*J882</f>
        <v>0.70000000000000007</v>
      </c>
      <c r="I882" s="105">
        <f t="shared" ref="I882:I883" si="595">1/5*E882+4/5*J882</f>
        <v>0.92000000000000015</v>
      </c>
      <c r="J882" s="19">
        <f>J855+E882</f>
        <v>1.1400000000000001</v>
      </c>
      <c r="K882" s="103">
        <f t="shared" si="590"/>
        <v>1.7733333333333332</v>
      </c>
      <c r="L882" s="103">
        <f t="shared" si="591"/>
        <v>2.4066666666666663</v>
      </c>
      <c r="M882" s="21">
        <f>M855+E882</f>
        <v>3.04</v>
      </c>
    </row>
    <row r="883" spans="2:14" ht="15" x14ac:dyDescent="0.25">
      <c r="C883" t="s">
        <v>41</v>
      </c>
      <c r="E883" s="20">
        <f>E876</f>
        <v>0.08</v>
      </c>
      <c r="F883" s="105">
        <f t="shared" si="592"/>
        <v>0.36</v>
      </c>
      <c r="G883" s="105">
        <f t="shared" si="593"/>
        <v>0.64</v>
      </c>
      <c r="H883" s="105">
        <f t="shared" si="594"/>
        <v>0.92</v>
      </c>
      <c r="I883" s="105">
        <f t="shared" si="595"/>
        <v>1.2</v>
      </c>
      <c r="J883" s="19">
        <f>J854+E883</f>
        <v>1.48</v>
      </c>
      <c r="K883" s="103">
        <f t="shared" si="590"/>
        <v>3.8133333333333335</v>
      </c>
      <c r="L883" s="103">
        <f t="shared" si="591"/>
        <v>6.1466666666666665</v>
      </c>
      <c r="M883" s="19">
        <f>M854+E883</f>
        <v>8.48</v>
      </c>
      <c r="N883" s="2" t="s">
        <v>974</v>
      </c>
    </row>
    <row r="884" spans="2:14" x14ac:dyDescent="0.2">
      <c r="C884" t="s">
        <v>160</v>
      </c>
      <c r="E884">
        <v>4</v>
      </c>
      <c r="F884" s="103">
        <f t="shared" ref="F884" si="596">2/3*E884+1/3*H884</f>
        <v>4.6666666666666661</v>
      </c>
      <c r="G884" s="103">
        <f t="shared" ref="G884" si="597">1/3*E884+2/3*H884</f>
        <v>5.333333333333333</v>
      </c>
      <c r="H884">
        <v>6</v>
      </c>
      <c r="I884">
        <v>9</v>
      </c>
      <c r="J884">
        <v>13</v>
      </c>
      <c r="K884" s="103">
        <f t="shared" si="590"/>
        <v>11.266666666666666</v>
      </c>
      <c r="L884" s="103">
        <f t="shared" si="591"/>
        <v>9.5333333333333314</v>
      </c>
      <c r="M884">
        <v>7.8</v>
      </c>
    </row>
    <row r="885" spans="2:14" x14ac:dyDescent="0.2">
      <c r="C885" s="29" t="s">
        <v>161</v>
      </c>
      <c r="D885" s="29"/>
      <c r="E885" s="29"/>
      <c r="F885" s="29">
        <v>5</v>
      </c>
      <c r="G885" s="29">
        <v>10</v>
      </c>
      <c r="H885" s="29">
        <v>12</v>
      </c>
      <c r="I885" s="29">
        <v>15</v>
      </c>
      <c r="J885" s="29">
        <v>19</v>
      </c>
      <c r="K885" s="103">
        <f t="shared" si="590"/>
        <v>16.333333333333332</v>
      </c>
      <c r="L885" s="103">
        <f t="shared" si="591"/>
        <v>13.666666666666666</v>
      </c>
      <c r="M885" s="29">
        <v>11</v>
      </c>
    </row>
    <row r="886" spans="2:14" ht="15" x14ac:dyDescent="0.25">
      <c r="C886" s="14" t="s">
        <v>170</v>
      </c>
      <c r="D886" s="14"/>
      <c r="E886" s="14"/>
      <c r="F886" s="14"/>
      <c r="G886" s="14"/>
      <c r="H886" s="14"/>
      <c r="I886" s="14"/>
      <c r="J886" s="14"/>
      <c r="K886" s="14"/>
      <c r="L886" s="14"/>
      <c r="M886" s="14">
        <v>1.8</v>
      </c>
    </row>
    <row r="887" spans="2:14" x14ac:dyDescent="0.2">
      <c r="C887" t="s">
        <v>140</v>
      </c>
      <c r="E887">
        <v>20</v>
      </c>
      <c r="F887">
        <v>19</v>
      </c>
      <c r="G887">
        <v>19</v>
      </c>
      <c r="H887">
        <v>19.100000000000001</v>
      </c>
      <c r="I887">
        <v>19.2</v>
      </c>
      <c r="J887">
        <v>19.3</v>
      </c>
      <c r="K887" s="103">
        <f t="shared" ref="K887" si="598">2/3*J887+1/3*M887</f>
        <v>19.399999999999999</v>
      </c>
      <c r="L887" s="103">
        <f t="shared" ref="L887" si="599">1/3*J887+2/3*M887</f>
        <v>19.5</v>
      </c>
      <c r="M887">
        <v>19.600000000000001</v>
      </c>
    </row>
    <row r="888" spans="2:14" x14ac:dyDescent="0.2">
      <c r="C888" t="s">
        <v>141</v>
      </c>
      <c r="E888">
        <v>15</v>
      </c>
      <c r="F888">
        <v>16</v>
      </c>
      <c r="G888">
        <v>17</v>
      </c>
      <c r="H888">
        <v>18</v>
      </c>
      <c r="I888">
        <v>18</v>
      </c>
      <c r="J888">
        <v>19</v>
      </c>
      <c r="K888" s="103">
        <f t="shared" ref="K888:K891" si="600">2/3*J888+1/3*M888</f>
        <v>19.333333333333332</v>
      </c>
      <c r="L888" s="103">
        <f t="shared" ref="L888:L891" si="601">1/3*J888+2/3*M888</f>
        <v>19.666666666666664</v>
      </c>
      <c r="M888">
        <v>20</v>
      </c>
    </row>
    <row r="889" spans="2:14" ht="15" x14ac:dyDescent="0.25">
      <c r="C889" t="s">
        <v>162</v>
      </c>
      <c r="E889" s="20">
        <f>E881</f>
        <v>1.3</v>
      </c>
      <c r="F889" s="105">
        <f>4/5*E889+1/5*J889</f>
        <v>2.2999999999999998</v>
      </c>
      <c r="G889" s="105">
        <f>3/5*E889+2/5*J889</f>
        <v>3.3</v>
      </c>
      <c r="H889" s="105">
        <f>2/5*E889+3/5*J889</f>
        <v>4.3</v>
      </c>
      <c r="I889" s="105">
        <f>1/5*E889+4/5*J889</f>
        <v>5.3</v>
      </c>
      <c r="J889" s="19">
        <f>J862+J865+E889</f>
        <v>6.3</v>
      </c>
      <c r="K889" s="103">
        <f t="shared" si="600"/>
        <v>7.2999999999999989</v>
      </c>
      <c r="L889" s="103">
        <f t="shared" si="601"/>
        <v>8.3000000000000007</v>
      </c>
      <c r="M889" s="21">
        <f>M865+E889+M862</f>
        <v>9.3000000000000007</v>
      </c>
      <c r="N889" s="2" t="s">
        <v>975</v>
      </c>
    </row>
    <row r="890" spans="2:14" x14ac:dyDescent="0.2">
      <c r="C890" t="s">
        <v>46</v>
      </c>
      <c r="E890" s="20">
        <f t="shared" ref="E890" si="602">E882</f>
        <v>0.04</v>
      </c>
      <c r="F890" s="105">
        <f t="shared" ref="F890:F891" si="603">4/5*E890+1/5*J890</f>
        <v>0.34000000000000008</v>
      </c>
      <c r="G890" s="105">
        <f t="shared" ref="G890:G891" si="604">3/5*E890+2/5*J890</f>
        <v>0.64000000000000012</v>
      </c>
      <c r="H890" s="105">
        <f t="shared" ref="H890:H891" si="605">2/5*E890+3/5*J890</f>
        <v>0.94</v>
      </c>
      <c r="I890" s="105">
        <f t="shared" ref="I890:I891" si="606">1/5*E890+4/5*J890</f>
        <v>1.2400000000000002</v>
      </c>
      <c r="J890" s="19">
        <f>J864+E890</f>
        <v>1.54</v>
      </c>
      <c r="K890" s="103">
        <f t="shared" si="600"/>
        <v>2.3733333333333331</v>
      </c>
      <c r="L890" s="103">
        <f t="shared" si="601"/>
        <v>3.2066666666666666</v>
      </c>
      <c r="M890" s="21">
        <f>M864+E890</f>
        <v>4.04</v>
      </c>
    </row>
    <row r="891" spans="2:14" x14ac:dyDescent="0.2">
      <c r="C891" t="s">
        <v>143</v>
      </c>
      <c r="E891" s="20">
        <f>E883</f>
        <v>0.08</v>
      </c>
      <c r="F891" s="105">
        <f t="shared" si="603"/>
        <v>0.48000000000000004</v>
      </c>
      <c r="G891" s="105">
        <f t="shared" si="604"/>
        <v>0.88000000000000012</v>
      </c>
      <c r="H891" s="105">
        <f t="shared" si="605"/>
        <v>1.28</v>
      </c>
      <c r="I891" s="105">
        <f t="shared" si="606"/>
        <v>1.6800000000000002</v>
      </c>
      <c r="J891" s="19">
        <f>J863+E891</f>
        <v>2.08</v>
      </c>
      <c r="K891" s="103">
        <f t="shared" si="600"/>
        <v>6.1133333333333333</v>
      </c>
      <c r="L891" s="103">
        <f t="shared" si="601"/>
        <v>10.146666666666667</v>
      </c>
      <c r="M891" s="21">
        <f>M863+E891</f>
        <v>14.18</v>
      </c>
    </row>
    <row r="892" spans="2:14" x14ac:dyDescent="0.2">
      <c r="C892" t="s">
        <v>163</v>
      </c>
      <c r="E892">
        <v>4</v>
      </c>
      <c r="F892">
        <v>3</v>
      </c>
      <c r="G892">
        <v>2</v>
      </c>
      <c r="H892">
        <v>2</v>
      </c>
      <c r="I892">
        <v>2</v>
      </c>
      <c r="J892">
        <v>1</v>
      </c>
      <c r="K892" s="103">
        <f t="shared" ref="K892" si="607">2/3*J892+1/3*M892</f>
        <v>0.66666666666666663</v>
      </c>
      <c r="L892" s="103">
        <f t="shared" ref="L892" si="608">1/3*J892+2/3*M892</f>
        <v>0.33333333333333331</v>
      </c>
      <c r="M892">
        <v>0</v>
      </c>
    </row>
    <row r="893" spans="2:14" x14ac:dyDescent="0.2">
      <c r="C893" t="s">
        <v>164</v>
      </c>
      <c r="F893">
        <v>5</v>
      </c>
      <c r="G893">
        <v>8</v>
      </c>
      <c r="H893">
        <v>12</v>
      </c>
      <c r="I893">
        <v>16</v>
      </c>
      <c r="J893">
        <v>22</v>
      </c>
      <c r="K893" s="103">
        <f t="shared" ref="K893" si="609">2/3*J893+1/3*M893</f>
        <v>13.333333333333332</v>
      </c>
      <c r="L893" s="103">
        <f t="shared" ref="L893" si="610">1/3*J893+2/3*M893</f>
        <v>4.6666666666666661</v>
      </c>
      <c r="M893">
        <v>-4</v>
      </c>
    </row>
    <row r="895" spans="2:14" ht="15" x14ac:dyDescent="0.25">
      <c r="B895" s="2" t="s">
        <v>184</v>
      </c>
    </row>
    <row r="896" spans="2:14" x14ac:dyDescent="0.2">
      <c r="C896" s="13" t="s">
        <v>129</v>
      </c>
    </row>
    <row r="897" spans="3:14" x14ac:dyDescent="0.2">
      <c r="C897" s="22" t="s">
        <v>65</v>
      </c>
      <c r="D897" s="22"/>
      <c r="E897" s="22"/>
      <c r="F897" s="22">
        <v>3</v>
      </c>
      <c r="G897" s="22">
        <v>3</v>
      </c>
      <c r="H897" s="22">
        <v>2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</row>
    <row r="898" spans="3:14" x14ac:dyDescent="0.2">
      <c r="C898" t="s">
        <v>134</v>
      </c>
      <c r="F898">
        <v>8</v>
      </c>
      <c r="G898">
        <v>8</v>
      </c>
      <c r="H898">
        <v>8</v>
      </c>
      <c r="J898">
        <v>8</v>
      </c>
      <c r="M898">
        <v>9</v>
      </c>
    </row>
    <row r="899" spans="3:14" x14ac:dyDescent="0.2">
      <c r="C899" t="s">
        <v>173</v>
      </c>
      <c r="F899">
        <v>2</v>
      </c>
      <c r="G899">
        <v>4</v>
      </c>
      <c r="H899">
        <v>4</v>
      </c>
      <c r="J899">
        <v>4</v>
      </c>
      <c r="M899">
        <v>4</v>
      </c>
    </row>
    <row r="900" spans="3:14" x14ac:dyDescent="0.2">
      <c r="C900" t="s">
        <v>135</v>
      </c>
      <c r="F900">
        <v>4</v>
      </c>
      <c r="G900">
        <v>4</v>
      </c>
      <c r="H900">
        <v>4</v>
      </c>
      <c r="J900">
        <v>4</v>
      </c>
      <c r="M900">
        <v>4</v>
      </c>
    </row>
    <row r="901" spans="3:14" x14ac:dyDescent="0.2">
      <c r="C901" t="s">
        <v>44</v>
      </c>
    </row>
    <row r="902" spans="3:14" x14ac:dyDescent="0.2">
      <c r="C902" t="s">
        <v>40</v>
      </c>
      <c r="M902">
        <v>4</v>
      </c>
    </row>
    <row r="903" spans="3:14" x14ac:dyDescent="0.2">
      <c r="C903" t="s">
        <v>174</v>
      </c>
      <c r="M903">
        <v>2.9</v>
      </c>
      <c r="N903" t="s">
        <v>183</v>
      </c>
    </row>
    <row r="904" spans="3:14" x14ac:dyDescent="0.2">
      <c r="C904" s="14" t="s">
        <v>175</v>
      </c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4" x14ac:dyDescent="0.2">
      <c r="C905" t="s">
        <v>137</v>
      </c>
      <c r="F905">
        <v>8</v>
      </c>
      <c r="G905">
        <v>8</v>
      </c>
      <c r="H905">
        <v>8</v>
      </c>
      <c r="J905">
        <v>9</v>
      </c>
      <c r="M905">
        <v>9</v>
      </c>
    </row>
    <row r="906" spans="3:14" x14ac:dyDescent="0.2">
      <c r="C906" t="s">
        <v>177</v>
      </c>
      <c r="F906">
        <v>2</v>
      </c>
      <c r="G906">
        <v>4</v>
      </c>
      <c r="H906">
        <v>4</v>
      </c>
      <c r="J906">
        <v>4</v>
      </c>
      <c r="M906">
        <v>4</v>
      </c>
    </row>
    <row r="907" spans="3:14" x14ac:dyDescent="0.2">
      <c r="C907" t="s">
        <v>138</v>
      </c>
      <c r="F907">
        <v>4</v>
      </c>
      <c r="G907">
        <v>4</v>
      </c>
      <c r="H907">
        <v>4</v>
      </c>
      <c r="J907">
        <v>4</v>
      </c>
      <c r="M907">
        <v>4</v>
      </c>
    </row>
    <row r="908" spans="3:14" x14ac:dyDescent="0.2">
      <c r="C908" t="s">
        <v>45</v>
      </c>
      <c r="M908">
        <v>2</v>
      </c>
    </row>
    <row r="909" spans="3:14" x14ac:dyDescent="0.2">
      <c r="C909" t="s">
        <v>41</v>
      </c>
      <c r="J909">
        <v>2</v>
      </c>
      <c r="M909">
        <v>9</v>
      </c>
    </row>
    <row r="910" spans="3:14" x14ac:dyDescent="0.2">
      <c r="C910" t="s">
        <v>178</v>
      </c>
      <c r="H910" s="20">
        <f>M910</f>
        <v>1.8</v>
      </c>
      <c r="M910">
        <v>1.8</v>
      </c>
      <c r="N910" t="s">
        <v>183</v>
      </c>
    </row>
    <row r="911" spans="3:14" x14ac:dyDescent="0.2">
      <c r="C911" s="14" t="s">
        <v>179</v>
      </c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4" x14ac:dyDescent="0.2">
      <c r="C912" t="s">
        <v>140</v>
      </c>
      <c r="F912">
        <v>8</v>
      </c>
      <c r="G912">
        <v>8</v>
      </c>
      <c r="H912">
        <v>8</v>
      </c>
      <c r="J912">
        <v>8</v>
      </c>
      <c r="M912">
        <v>9</v>
      </c>
    </row>
    <row r="913" spans="2:14" x14ac:dyDescent="0.2">
      <c r="C913" t="s">
        <v>180</v>
      </c>
      <c r="F913">
        <v>2</v>
      </c>
      <c r="G913">
        <v>4</v>
      </c>
      <c r="H913">
        <v>4</v>
      </c>
      <c r="J913">
        <v>4</v>
      </c>
      <c r="M913">
        <v>4</v>
      </c>
    </row>
    <row r="914" spans="2:14" x14ac:dyDescent="0.2">
      <c r="C914" t="s">
        <v>141</v>
      </c>
      <c r="F914">
        <v>4</v>
      </c>
      <c r="G914">
        <v>4</v>
      </c>
      <c r="H914">
        <v>4</v>
      </c>
      <c r="J914">
        <v>4</v>
      </c>
      <c r="M914">
        <v>4</v>
      </c>
    </row>
    <row r="915" spans="2:14" x14ac:dyDescent="0.2">
      <c r="C915" t="s">
        <v>46</v>
      </c>
    </row>
    <row r="916" spans="2:14" x14ac:dyDescent="0.2">
      <c r="C916" t="s">
        <v>143</v>
      </c>
      <c r="J916">
        <v>2</v>
      </c>
      <c r="M916">
        <v>14</v>
      </c>
    </row>
    <row r="917" spans="2:14" x14ac:dyDescent="0.2">
      <c r="C917" t="s">
        <v>181</v>
      </c>
      <c r="M917">
        <v>0</v>
      </c>
      <c r="N917" t="s">
        <v>176</v>
      </c>
    </row>
    <row r="918" spans="2:14" x14ac:dyDescent="0.2">
      <c r="C918" t="s">
        <v>182</v>
      </c>
    </row>
    <row r="921" spans="2:14" ht="15" x14ac:dyDescent="0.25">
      <c r="B921" s="2" t="s">
        <v>210</v>
      </c>
    </row>
    <row r="922" spans="2:14" ht="15" x14ac:dyDescent="0.25">
      <c r="C922" s="13" t="s">
        <v>187</v>
      </c>
      <c r="F922" s="2">
        <v>2015</v>
      </c>
      <c r="G922" s="2">
        <v>2020</v>
      </c>
      <c r="H922" s="2">
        <v>2025</v>
      </c>
      <c r="I922" s="2">
        <v>2030</v>
      </c>
      <c r="J922" s="2">
        <v>2035</v>
      </c>
      <c r="K922" s="2">
        <v>2040</v>
      </c>
      <c r="L922" s="2">
        <v>2045</v>
      </c>
      <c r="M922" s="2">
        <v>2050</v>
      </c>
    </row>
    <row r="923" spans="2:14" x14ac:dyDescent="0.2">
      <c r="C923" t="s">
        <v>198</v>
      </c>
      <c r="F923">
        <v>0</v>
      </c>
      <c r="G923">
        <v>0</v>
      </c>
      <c r="H923">
        <v>0</v>
      </c>
      <c r="I923">
        <v>0</v>
      </c>
      <c r="J923">
        <v>1</v>
      </c>
      <c r="K923" t="s">
        <v>3</v>
      </c>
      <c r="L923" t="s">
        <v>3</v>
      </c>
      <c r="M923">
        <v>6.2</v>
      </c>
    </row>
    <row r="924" spans="2:14" x14ac:dyDescent="0.2">
      <c r="C924" t="s">
        <v>193</v>
      </c>
      <c r="F924">
        <v>0</v>
      </c>
      <c r="G924">
        <v>0</v>
      </c>
      <c r="H924">
        <v>0</v>
      </c>
      <c r="I924">
        <v>0</v>
      </c>
      <c r="J924">
        <v>0.6</v>
      </c>
      <c r="K924" t="s">
        <v>3</v>
      </c>
      <c r="L924" t="s">
        <v>3</v>
      </c>
      <c r="M924">
        <v>3.7</v>
      </c>
    </row>
    <row r="925" spans="2:14" x14ac:dyDescent="0.2">
      <c r="C925" s="14" t="s">
        <v>207</v>
      </c>
      <c r="D925" s="14"/>
      <c r="E925" s="14"/>
      <c r="F925" s="14">
        <v>0</v>
      </c>
      <c r="G925" s="14">
        <v>0</v>
      </c>
      <c r="H925" s="14">
        <v>0</v>
      </c>
      <c r="I925" s="14">
        <v>0</v>
      </c>
      <c r="J925" s="32">
        <f>0.5*J924</f>
        <v>0.3</v>
      </c>
      <c r="K925" s="14" t="s">
        <v>3</v>
      </c>
      <c r="L925" s="14" t="s">
        <v>3</v>
      </c>
      <c r="M925" s="32">
        <f>0.66*M924</f>
        <v>2.4420000000000002</v>
      </c>
    </row>
    <row r="926" spans="2:14" x14ac:dyDescent="0.2">
      <c r="C926" t="s">
        <v>194</v>
      </c>
      <c r="F926">
        <v>0</v>
      </c>
      <c r="G926">
        <v>0</v>
      </c>
      <c r="H926">
        <v>0</v>
      </c>
      <c r="I926">
        <v>0</v>
      </c>
      <c r="J926">
        <v>4</v>
      </c>
      <c r="K926" t="s">
        <v>3</v>
      </c>
      <c r="L926" t="s">
        <v>3</v>
      </c>
      <c r="M926">
        <v>15.3</v>
      </c>
    </row>
    <row r="927" spans="2:14" x14ac:dyDescent="0.2">
      <c r="C927" t="s">
        <v>195</v>
      </c>
      <c r="F927">
        <v>0</v>
      </c>
      <c r="G927">
        <v>0</v>
      </c>
      <c r="H927">
        <v>0</v>
      </c>
      <c r="I927">
        <v>0</v>
      </c>
      <c r="J927">
        <v>2.2000000000000002</v>
      </c>
      <c r="K927" t="s">
        <v>3</v>
      </c>
      <c r="L927" t="s">
        <v>3</v>
      </c>
      <c r="M927">
        <v>8.8000000000000007</v>
      </c>
    </row>
    <row r="928" spans="2:14" ht="15" x14ac:dyDescent="0.25">
      <c r="C928" s="14" t="s">
        <v>208</v>
      </c>
      <c r="D928" s="14"/>
      <c r="E928" s="14"/>
      <c r="F928" s="14">
        <v>0</v>
      </c>
      <c r="G928" s="14">
        <v>0</v>
      </c>
      <c r="H928" s="14">
        <v>0</v>
      </c>
      <c r="I928" s="14">
        <v>0</v>
      </c>
      <c r="J928" s="32">
        <f>0.5*J927</f>
        <v>1.1000000000000001</v>
      </c>
      <c r="K928" s="14"/>
      <c r="L928" s="14"/>
      <c r="M928" s="32">
        <f>0.66*M927</f>
        <v>5.8080000000000007</v>
      </c>
      <c r="N928" s="2" t="s">
        <v>205</v>
      </c>
    </row>
    <row r="929" spans="2:14" x14ac:dyDescent="0.2">
      <c r="C929" t="s">
        <v>196</v>
      </c>
      <c r="F929">
        <v>0</v>
      </c>
      <c r="G929">
        <v>0</v>
      </c>
      <c r="H929">
        <v>0</v>
      </c>
      <c r="I929">
        <v>0</v>
      </c>
      <c r="J929">
        <v>2.1</v>
      </c>
      <c r="K929" t="s">
        <v>3</v>
      </c>
      <c r="L929" t="s">
        <v>3</v>
      </c>
      <c r="M929">
        <v>24</v>
      </c>
    </row>
    <row r="930" spans="2:14" x14ac:dyDescent="0.2">
      <c r="C930" t="s">
        <v>197</v>
      </c>
      <c r="F930">
        <v>0</v>
      </c>
      <c r="G930">
        <v>0</v>
      </c>
      <c r="H930">
        <v>0</v>
      </c>
      <c r="I930">
        <v>0</v>
      </c>
      <c r="J930">
        <v>1.2</v>
      </c>
      <c r="K930" t="s">
        <v>3</v>
      </c>
      <c r="L930" t="s">
        <v>3</v>
      </c>
      <c r="M930">
        <v>14.7</v>
      </c>
    </row>
    <row r="931" spans="2:14" ht="15" x14ac:dyDescent="0.25">
      <c r="C931" s="14" t="s">
        <v>209</v>
      </c>
      <c r="D931" s="14"/>
      <c r="E931" s="14"/>
      <c r="F931" s="14">
        <v>0</v>
      </c>
      <c r="G931" s="14">
        <v>0</v>
      </c>
      <c r="H931" s="14">
        <v>0</v>
      </c>
      <c r="I931" s="14">
        <v>0</v>
      </c>
      <c r="J931" s="32">
        <f>0.5*J930</f>
        <v>0.6</v>
      </c>
      <c r="K931" s="14"/>
      <c r="L931" s="14"/>
      <c r="M931" s="32">
        <f>0.66*(M930)</f>
        <v>9.702</v>
      </c>
      <c r="N931" s="2" t="s">
        <v>206</v>
      </c>
    </row>
    <row r="932" spans="2:14" x14ac:dyDescent="0.2">
      <c r="C932" t="s">
        <v>219</v>
      </c>
      <c r="F932" t="s">
        <v>3</v>
      </c>
      <c r="G932" t="s">
        <v>3</v>
      </c>
      <c r="H932" t="s">
        <v>3</v>
      </c>
      <c r="I932" t="s">
        <v>3</v>
      </c>
      <c r="J932">
        <v>2</v>
      </c>
      <c r="K932" t="s">
        <v>3</v>
      </c>
      <c r="L932" t="s">
        <v>3</v>
      </c>
      <c r="M932">
        <v>2.6</v>
      </c>
    </row>
    <row r="933" spans="2:14" ht="15" x14ac:dyDescent="0.25">
      <c r="B933" s="2"/>
      <c r="C933" t="s">
        <v>227</v>
      </c>
      <c r="F933">
        <v>1.5</v>
      </c>
    </row>
    <row r="935" spans="2:14" ht="15" x14ac:dyDescent="0.25">
      <c r="B935" s="2" t="s">
        <v>211</v>
      </c>
    </row>
    <row r="936" spans="2:14" ht="15" x14ac:dyDescent="0.25">
      <c r="B936" s="2"/>
      <c r="C936" s="13" t="s">
        <v>187</v>
      </c>
    </row>
    <row r="937" spans="2:14" ht="15" x14ac:dyDescent="0.25">
      <c r="B937" s="2"/>
      <c r="C937" t="s">
        <v>189</v>
      </c>
      <c r="F937" t="s">
        <v>3</v>
      </c>
      <c r="G937" t="s">
        <v>3</v>
      </c>
      <c r="H937" t="s">
        <v>3</v>
      </c>
      <c r="I937" t="s">
        <v>3</v>
      </c>
      <c r="J937">
        <v>5.2</v>
      </c>
      <c r="K937">
        <v>0</v>
      </c>
      <c r="L937">
        <v>0</v>
      </c>
      <c r="M937">
        <v>0</v>
      </c>
    </row>
    <row r="938" spans="2:14" ht="15" x14ac:dyDescent="0.25">
      <c r="B938" s="2"/>
      <c r="C938" s="14" t="s">
        <v>188</v>
      </c>
      <c r="D938" s="14"/>
      <c r="E938" s="14"/>
      <c r="F938" s="14"/>
      <c r="G938" s="14" t="s">
        <v>3</v>
      </c>
      <c r="H938" s="14" t="s">
        <v>3</v>
      </c>
      <c r="I938" s="14" t="s">
        <v>3</v>
      </c>
      <c r="J938" s="14">
        <v>4</v>
      </c>
      <c r="K938" s="14" t="s">
        <v>3</v>
      </c>
      <c r="L938" s="14" t="s">
        <v>3</v>
      </c>
      <c r="M938" s="14">
        <v>24</v>
      </c>
    </row>
    <row r="939" spans="2:14" ht="15" x14ac:dyDescent="0.25">
      <c r="B939" s="2"/>
      <c r="C939" t="s">
        <v>199</v>
      </c>
      <c r="F939" t="s">
        <v>3</v>
      </c>
      <c r="G939" t="s">
        <v>3</v>
      </c>
      <c r="H939" t="s">
        <v>3</v>
      </c>
      <c r="I939" t="s">
        <v>3</v>
      </c>
      <c r="J939">
        <v>2.5</v>
      </c>
      <c r="K939" t="s">
        <v>3</v>
      </c>
      <c r="L939" t="s">
        <v>3</v>
      </c>
      <c r="M939">
        <v>2.7</v>
      </c>
    </row>
    <row r="940" spans="2:14" ht="15" x14ac:dyDescent="0.25">
      <c r="B940" s="2"/>
      <c r="C940" t="s">
        <v>200</v>
      </c>
      <c r="F940" t="s">
        <v>3</v>
      </c>
      <c r="G940" t="s">
        <v>3</v>
      </c>
      <c r="H940" t="s">
        <v>3</v>
      </c>
      <c r="I940" t="s">
        <v>3</v>
      </c>
      <c r="J940">
        <v>12.9</v>
      </c>
      <c r="K940" t="s">
        <v>3</v>
      </c>
      <c r="L940" t="s">
        <v>3</v>
      </c>
      <c r="M940">
        <v>22.4</v>
      </c>
    </row>
    <row r="941" spans="2:14" ht="15" x14ac:dyDescent="0.25">
      <c r="B941" s="2"/>
      <c r="C941" t="s">
        <v>201</v>
      </c>
      <c r="F941" t="s">
        <v>3</v>
      </c>
      <c r="G941" t="s">
        <v>3</v>
      </c>
      <c r="H941" t="s">
        <v>3</v>
      </c>
      <c r="I941" t="s">
        <v>3</v>
      </c>
      <c r="J941">
        <v>1.4</v>
      </c>
      <c r="K941" t="s">
        <v>3</v>
      </c>
      <c r="L941" t="s">
        <v>3</v>
      </c>
      <c r="M941">
        <v>1.4</v>
      </c>
    </row>
    <row r="942" spans="2:14" ht="15" x14ac:dyDescent="0.25">
      <c r="B942" s="2"/>
      <c r="C942" t="s">
        <v>202</v>
      </c>
      <c r="F942" t="s">
        <v>3</v>
      </c>
      <c r="G942" t="s">
        <v>3</v>
      </c>
      <c r="H942" t="s">
        <v>3</v>
      </c>
      <c r="I942" t="s">
        <v>3</v>
      </c>
      <c r="J942">
        <v>17.5</v>
      </c>
      <c r="K942" t="s">
        <v>3</v>
      </c>
      <c r="L942" t="s">
        <v>3</v>
      </c>
      <c r="M942">
        <v>36.799999999999997</v>
      </c>
    </row>
    <row r="943" spans="2:14" ht="15" x14ac:dyDescent="0.25">
      <c r="B943" s="2"/>
      <c r="C943" t="s">
        <v>203</v>
      </c>
      <c r="F943" t="s">
        <v>3</v>
      </c>
      <c r="G943" t="s">
        <v>3</v>
      </c>
      <c r="H943" t="s">
        <v>3</v>
      </c>
      <c r="I943" t="s">
        <v>3</v>
      </c>
      <c r="J943" s="4">
        <v>0</v>
      </c>
      <c r="K943" t="s">
        <v>3</v>
      </c>
      <c r="L943" t="s">
        <v>3</v>
      </c>
      <c r="M943" s="4">
        <v>0</v>
      </c>
    </row>
    <row r="944" spans="2:14" ht="15" x14ac:dyDescent="0.25">
      <c r="B944" s="2"/>
      <c r="C944" s="14" t="s">
        <v>204</v>
      </c>
      <c r="D944" s="14"/>
      <c r="E944" s="14"/>
      <c r="F944" s="14" t="s">
        <v>3</v>
      </c>
      <c r="G944" s="14" t="s">
        <v>3</v>
      </c>
      <c r="H944" s="14" t="s">
        <v>3</v>
      </c>
      <c r="I944" s="14" t="s">
        <v>3</v>
      </c>
      <c r="J944" s="14">
        <v>19.600000000000001</v>
      </c>
      <c r="K944" s="14" t="s">
        <v>3</v>
      </c>
      <c r="L944" s="14" t="s">
        <v>3</v>
      </c>
      <c r="M944" s="14">
        <v>48.8</v>
      </c>
    </row>
    <row r="945" spans="2:14" ht="15" x14ac:dyDescent="0.25">
      <c r="B945" s="2"/>
      <c r="C945" t="s">
        <v>190</v>
      </c>
      <c r="F945" t="s">
        <v>3</v>
      </c>
      <c r="G945" t="s">
        <v>3</v>
      </c>
      <c r="H945" t="s">
        <v>3</v>
      </c>
      <c r="I945" t="s">
        <v>3</v>
      </c>
      <c r="J945" s="21">
        <f>J939+J940</f>
        <v>15.4</v>
      </c>
      <c r="K945" t="s">
        <v>3</v>
      </c>
      <c r="L945" t="s">
        <v>3</v>
      </c>
      <c r="M945" s="21">
        <f>M939+M940</f>
        <v>25.099999999999998</v>
      </c>
    </row>
    <row r="946" spans="2:14" ht="15" x14ac:dyDescent="0.25">
      <c r="B946" s="2"/>
      <c r="C946" t="s">
        <v>191</v>
      </c>
      <c r="F946" t="s">
        <v>3</v>
      </c>
      <c r="G946" t="s">
        <v>3</v>
      </c>
      <c r="H946" t="s">
        <v>3</v>
      </c>
      <c r="I946" t="s">
        <v>3</v>
      </c>
      <c r="J946" s="21">
        <f>J941+J942</f>
        <v>18.899999999999999</v>
      </c>
      <c r="K946" t="s">
        <v>3</v>
      </c>
      <c r="L946" t="s">
        <v>3</v>
      </c>
      <c r="M946" s="21">
        <f>M941+M942</f>
        <v>38.199999999999996</v>
      </c>
    </row>
    <row r="947" spans="2:14" x14ac:dyDescent="0.2">
      <c r="C947" s="29" t="s">
        <v>192</v>
      </c>
      <c r="D947" s="29"/>
      <c r="E947" s="29"/>
      <c r="F947" s="29" t="s">
        <v>3</v>
      </c>
      <c r="G947" s="29" t="s">
        <v>3</v>
      </c>
      <c r="H947" s="29" t="s">
        <v>3</v>
      </c>
      <c r="I947" s="29" t="s">
        <v>3</v>
      </c>
      <c r="J947" s="33">
        <f>J943+J944</f>
        <v>19.600000000000001</v>
      </c>
      <c r="K947" s="29" t="s">
        <v>3</v>
      </c>
      <c r="L947" s="29" t="s">
        <v>3</v>
      </c>
      <c r="M947" s="33">
        <f>M943+M944</f>
        <v>48.8</v>
      </c>
    </row>
    <row r="948" spans="2:14" x14ac:dyDescent="0.2">
      <c r="C948" s="9"/>
    </row>
    <row r="949" spans="2:14" ht="15" x14ac:dyDescent="0.25">
      <c r="B949" s="2" t="s">
        <v>212</v>
      </c>
    </row>
    <row r="950" spans="2:14" ht="15" x14ac:dyDescent="0.25">
      <c r="B950" s="2"/>
      <c r="C950" s="13" t="s">
        <v>187</v>
      </c>
    </row>
    <row r="951" spans="2:14" ht="15" x14ac:dyDescent="0.25">
      <c r="B951" s="2"/>
      <c r="C951" t="s">
        <v>213</v>
      </c>
      <c r="F951" t="s">
        <v>3</v>
      </c>
      <c r="G951" t="s">
        <v>3</v>
      </c>
      <c r="H951" t="s">
        <v>3</v>
      </c>
      <c r="I951" t="s">
        <v>3</v>
      </c>
      <c r="J951" s="19">
        <f>J945+J932+J925</f>
        <v>17.7</v>
      </c>
      <c r="K951" t="s">
        <v>3</v>
      </c>
      <c r="L951" t="s">
        <v>3</v>
      </c>
      <c r="M951" s="19">
        <f>M945+M932+M925</f>
        <v>30.141999999999999</v>
      </c>
    </row>
    <row r="952" spans="2:14" ht="15" x14ac:dyDescent="0.25">
      <c r="B952" s="2"/>
      <c r="C952" t="s">
        <v>214</v>
      </c>
      <c r="F952" t="s">
        <v>3</v>
      </c>
      <c r="G952" t="s">
        <v>3</v>
      </c>
      <c r="H952" t="s">
        <v>3</v>
      </c>
      <c r="I952" t="s">
        <v>3</v>
      </c>
      <c r="J952" s="19">
        <f>J951+J$938+J$937+(J924-J925)+$F$933*25</f>
        <v>64.7</v>
      </c>
      <c r="K952" t="s">
        <v>3</v>
      </c>
      <c r="L952" t="s">
        <v>3</v>
      </c>
      <c r="M952" s="19">
        <f>M951+M$938+M$937+(M924-M925)+$F$933*41</f>
        <v>116.9</v>
      </c>
      <c r="N952" s="2" t="s">
        <v>222</v>
      </c>
    </row>
    <row r="953" spans="2:14" ht="15" x14ac:dyDescent="0.25">
      <c r="B953" s="2"/>
      <c r="C953" t="s">
        <v>215</v>
      </c>
      <c r="F953" s="29" t="s">
        <v>3</v>
      </c>
      <c r="G953" s="29" t="s">
        <v>3</v>
      </c>
      <c r="H953" s="29" t="s">
        <v>3</v>
      </c>
      <c r="I953" s="29" t="s">
        <v>3</v>
      </c>
      <c r="J953" s="19">
        <f>J946+J932+J927</f>
        <v>23.099999999999998</v>
      </c>
      <c r="K953" t="s">
        <v>3</v>
      </c>
      <c r="L953" t="s">
        <v>3</v>
      </c>
      <c r="M953" s="19">
        <f>M946+M932+M927</f>
        <v>49.599999999999994</v>
      </c>
      <c r="N953" s="2" t="s">
        <v>220</v>
      </c>
    </row>
    <row r="954" spans="2:14" ht="15" x14ac:dyDescent="0.25">
      <c r="B954" s="2"/>
      <c r="C954" t="s">
        <v>216</v>
      </c>
      <c r="F954" t="s">
        <v>3</v>
      </c>
      <c r="G954" t="s">
        <v>3</v>
      </c>
      <c r="H954" t="s">
        <v>3</v>
      </c>
      <c r="I954" t="s">
        <v>3</v>
      </c>
      <c r="J954" s="19">
        <f>J953+J$938+J$937+(J927-J928)+$F$933*25</f>
        <v>70.900000000000006</v>
      </c>
      <c r="K954" t="s">
        <v>3</v>
      </c>
      <c r="L954" t="s">
        <v>3</v>
      </c>
      <c r="M954" s="19">
        <f>M953+M$938+M$937+(M926-M927)+$F$933*41</f>
        <v>141.6</v>
      </c>
      <c r="N954" s="2" t="s">
        <v>223</v>
      </c>
    </row>
    <row r="955" spans="2:14" ht="15" x14ac:dyDescent="0.25">
      <c r="B955" s="2"/>
      <c r="C955" t="s">
        <v>217</v>
      </c>
      <c r="F955" s="29" t="s">
        <v>3</v>
      </c>
      <c r="G955" s="29" t="s">
        <v>3</v>
      </c>
      <c r="H955" s="29" t="s">
        <v>3</v>
      </c>
      <c r="I955" s="29" t="s">
        <v>3</v>
      </c>
      <c r="J955" s="19">
        <f>J947+J932+J931</f>
        <v>22.200000000000003</v>
      </c>
      <c r="K955" t="s">
        <v>3</v>
      </c>
      <c r="L955" t="s">
        <v>3</v>
      </c>
      <c r="M955" s="19">
        <f>M947+M932+M931</f>
        <v>61.101999999999997</v>
      </c>
      <c r="N955" s="2"/>
    </row>
    <row r="956" spans="2:14" ht="15" x14ac:dyDescent="0.25">
      <c r="B956" s="2"/>
      <c r="C956" t="s">
        <v>218</v>
      </c>
      <c r="F956" s="29" t="s">
        <v>3</v>
      </c>
      <c r="G956" s="29" t="s">
        <v>3</v>
      </c>
      <c r="H956" s="29" t="s">
        <v>3</v>
      </c>
      <c r="I956" s="29" t="s">
        <v>3</v>
      </c>
      <c r="J956" s="19">
        <f>J955+J$938+J$937+(J930-J931)+$F$933*25</f>
        <v>69.5</v>
      </c>
      <c r="K956" t="s">
        <v>3</v>
      </c>
      <c r="L956" t="s">
        <v>3</v>
      </c>
      <c r="M956" s="19">
        <f>M955+M$938+M$937+(M930-M931)+$F$933*41</f>
        <v>151.60000000000002</v>
      </c>
      <c r="N956" s="2" t="s">
        <v>221</v>
      </c>
    </row>
    <row r="958" spans="2:14" ht="15" x14ac:dyDescent="0.25">
      <c r="B958" s="2" t="s">
        <v>980</v>
      </c>
    </row>
    <row r="959" spans="2:14" ht="15" x14ac:dyDescent="0.25">
      <c r="C959" s="13" t="s">
        <v>186</v>
      </c>
      <c r="F959" s="2">
        <v>2015</v>
      </c>
      <c r="G959" s="2">
        <v>2020</v>
      </c>
      <c r="H959" s="2">
        <v>2025</v>
      </c>
      <c r="I959" s="2">
        <v>2030</v>
      </c>
      <c r="J959" s="2">
        <v>2035</v>
      </c>
      <c r="K959" s="2">
        <v>2040</v>
      </c>
      <c r="L959" s="2">
        <v>2045</v>
      </c>
      <c r="M959" s="2">
        <v>2050</v>
      </c>
    </row>
    <row r="960" spans="2:14" x14ac:dyDescent="0.2">
      <c r="C960" t="s">
        <v>224</v>
      </c>
      <c r="F960">
        <v>63</v>
      </c>
      <c r="G960" s="21">
        <f>0.5*(F960+H960)</f>
        <v>71</v>
      </c>
      <c r="H960">
        <v>79</v>
      </c>
      <c r="I960" s="21">
        <f>0.5*(H960+J960)</f>
        <v>89.5</v>
      </c>
      <c r="J960">
        <v>100</v>
      </c>
      <c r="K960" s="21">
        <f>0.66*J960+0.33*M960</f>
        <v>97.35</v>
      </c>
      <c r="L960" s="21">
        <f>0.33*J960+0.66*M960</f>
        <v>95.7</v>
      </c>
      <c r="M960">
        <v>95</v>
      </c>
    </row>
    <row r="961" spans="2:13" x14ac:dyDescent="0.2">
      <c r="C961" t="s">
        <v>225</v>
      </c>
      <c r="F961">
        <v>62</v>
      </c>
      <c r="G961" s="21">
        <f t="shared" ref="G961:I962" si="611">0.5*(F961+H961)</f>
        <v>70</v>
      </c>
      <c r="H961">
        <v>78</v>
      </c>
      <c r="I961" s="21">
        <f t="shared" si="611"/>
        <v>89</v>
      </c>
      <c r="J961">
        <v>100</v>
      </c>
      <c r="K961" s="21">
        <f t="shared" ref="K961:K962" si="612">0.66*J961+0.33*M961</f>
        <v>96.36</v>
      </c>
      <c r="L961" s="21">
        <f t="shared" ref="L961:L962" si="613">0.33*J961+0.66*M961</f>
        <v>93.72</v>
      </c>
      <c r="M961">
        <v>92</v>
      </c>
    </row>
    <row r="962" spans="2:13" x14ac:dyDescent="0.2">
      <c r="C962" t="s">
        <v>226</v>
      </c>
      <c r="F962">
        <v>60</v>
      </c>
      <c r="G962" s="21">
        <f t="shared" si="611"/>
        <v>67.5</v>
      </c>
      <c r="H962">
        <v>75</v>
      </c>
      <c r="I962" s="21">
        <f t="shared" si="611"/>
        <v>86.5</v>
      </c>
      <c r="J962">
        <v>98</v>
      </c>
      <c r="K962" s="21">
        <f t="shared" si="612"/>
        <v>91.080000000000013</v>
      </c>
      <c r="L962" s="21">
        <f t="shared" si="613"/>
        <v>85.140000000000015</v>
      </c>
      <c r="M962">
        <v>80</v>
      </c>
    </row>
    <row r="964" spans="2:13" ht="15" x14ac:dyDescent="0.25">
      <c r="C964" s="13" t="s">
        <v>259</v>
      </c>
      <c r="F964" s="2">
        <v>2015</v>
      </c>
      <c r="G964" s="2">
        <v>2020</v>
      </c>
      <c r="H964" s="2">
        <v>2025</v>
      </c>
      <c r="I964" s="2">
        <v>2030</v>
      </c>
      <c r="J964" s="2">
        <v>2035</v>
      </c>
      <c r="K964" s="2">
        <v>2040</v>
      </c>
      <c r="L964" s="2">
        <v>2045</v>
      </c>
      <c r="M964" s="2">
        <v>2050</v>
      </c>
    </row>
    <row r="965" spans="2:13" x14ac:dyDescent="0.2">
      <c r="C965" t="s">
        <v>224</v>
      </c>
      <c r="F965" s="19">
        <f>0.1*1.3*F960</f>
        <v>8.19</v>
      </c>
      <c r="G965" s="19">
        <f t="shared" ref="G965:M965" si="614">0.1*1.3*G960</f>
        <v>9.23</v>
      </c>
      <c r="H965" s="19">
        <f t="shared" si="614"/>
        <v>10.27</v>
      </c>
      <c r="I965" s="19">
        <f t="shared" si="614"/>
        <v>11.635</v>
      </c>
      <c r="J965" s="19">
        <f t="shared" si="614"/>
        <v>13</v>
      </c>
      <c r="K965" s="19">
        <f t="shared" si="614"/>
        <v>12.6555</v>
      </c>
      <c r="L965" s="19">
        <f t="shared" si="614"/>
        <v>12.441000000000001</v>
      </c>
      <c r="M965" s="19">
        <f t="shared" si="614"/>
        <v>12.35</v>
      </c>
    </row>
    <row r="966" spans="2:13" x14ac:dyDescent="0.2">
      <c r="C966" t="s">
        <v>225</v>
      </c>
      <c r="F966" s="19">
        <f t="shared" ref="F966:M967" si="615">0.1*1.3*F961</f>
        <v>8.06</v>
      </c>
      <c r="G966" s="19">
        <f t="shared" si="615"/>
        <v>9.1</v>
      </c>
      <c r="H966" s="19">
        <f t="shared" si="615"/>
        <v>10.14</v>
      </c>
      <c r="I966" s="19">
        <f t="shared" si="615"/>
        <v>11.57</v>
      </c>
      <c r="J966" s="19">
        <f t="shared" si="615"/>
        <v>13</v>
      </c>
      <c r="K966" s="19">
        <f t="shared" si="615"/>
        <v>12.5268</v>
      </c>
      <c r="L966" s="19">
        <f t="shared" si="615"/>
        <v>12.1836</v>
      </c>
      <c r="M966" s="19">
        <f t="shared" si="615"/>
        <v>11.96</v>
      </c>
    </row>
    <row r="967" spans="2:13" x14ac:dyDescent="0.2">
      <c r="C967" t="s">
        <v>226</v>
      </c>
      <c r="F967" s="19">
        <f t="shared" si="615"/>
        <v>7.8000000000000007</v>
      </c>
      <c r="G967" s="19">
        <f t="shared" si="615"/>
        <v>8.7750000000000004</v>
      </c>
      <c r="H967" s="19">
        <f t="shared" si="615"/>
        <v>9.75</v>
      </c>
      <c r="I967" s="19">
        <f t="shared" si="615"/>
        <v>11.245000000000001</v>
      </c>
      <c r="J967" s="19">
        <f t="shared" si="615"/>
        <v>12.74</v>
      </c>
      <c r="K967" s="19">
        <f t="shared" si="615"/>
        <v>11.840400000000002</v>
      </c>
      <c r="L967" s="19">
        <f t="shared" si="615"/>
        <v>11.068200000000003</v>
      </c>
      <c r="M967" s="19">
        <f t="shared" si="615"/>
        <v>10.4</v>
      </c>
    </row>
    <row r="968" spans="2:13" x14ac:dyDescent="0.2">
      <c r="F968" s="21"/>
      <c r="G968" s="21"/>
      <c r="H968" s="21"/>
      <c r="I968" s="21"/>
      <c r="J968" s="21"/>
      <c r="K968" s="21"/>
      <c r="L968" s="21"/>
      <c r="M968" s="21"/>
    </row>
    <row r="969" spans="2:13" ht="15" x14ac:dyDescent="0.25">
      <c r="B969" s="2" t="s">
        <v>1007</v>
      </c>
      <c r="F969" s="21"/>
      <c r="G969" s="21"/>
      <c r="H969" s="21"/>
      <c r="I969" s="21"/>
      <c r="J969" s="21"/>
      <c r="K969" s="21"/>
      <c r="L969" s="21"/>
      <c r="M969" s="21"/>
    </row>
    <row r="970" spans="2:13" ht="15" x14ac:dyDescent="0.25">
      <c r="B970" s="2"/>
      <c r="C970" s="13" t="s">
        <v>983</v>
      </c>
      <c r="E970" s="2">
        <v>2011</v>
      </c>
      <c r="F970" s="2">
        <v>2015</v>
      </c>
      <c r="G970" s="2">
        <v>2020</v>
      </c>
      <c r="H970" s="2">
        <v>2025</v>
      </c>
      <c r="I970" s="2">
        <v>2030</v>
      </c>
      <c r="J970" s="2">
        <v>2035</v>
      </c>
      <c r="K970" s="2">
        <v>2040</v>
      </c>
      <c r="L970" s="2">
        <v>2045</v>
      </c>
      <c r="M970" s="2">
        <v>2050</v>
      </c>
    </row>
    <row r="971" spans="2:13" x14ac:dyDescent="0.2">
      <c r="C971" t="s">
        <v>233</v>
      </c>
      <c r="E971">
        <v>17</v>
      </c>
      <c r="F971" s="20">
        <f t="shared" ref="F971" si="616">4/5*E971+1/5*J971</f>
        <v>18.200000000000003</v>
      </c>
      <c r="G971" s="20">
        <f t="shared" ref="G971" si="617">3/5*E971+2/5*J971</f>
        <v>19.399999999999999</v>
      </c>
      <c r="H971" s="20">
        <f t="shared" ref="H971" si="618">2/5*E971+3/5*J971</f>
        <v>20.6</v>
      </c>
      <c r="I971" s="20">
        <f t="shared" ref="I971" si="619">1/5*E971+4/5*J971</f>
        <v>21.800000000000004</v>
      </c>
      <c r="J971" s="23">
        <v>23</v>
      </c>
      <c r="K971" s="21">
        <f>0.66*J971+0.33*M971</f>
        <v>22.770000000000003</v>
      </c>
      <c r="L971" s="21">
        <f>0.33*J971+0.66*M971</f>
        <v>22.770000000000003</v>
      </c>
      <c r="M971" s="23">
        <v>23</v>
      </c>
    </row>
    <row r="972" spans="2:13" x14ac:dyDescent="0.2">
      <c r="C972" t="s">
        <v>981</v>
      </c>
      <c r="E972">
        <v>17</v>
      </c>
      <c r="F972" s="20">
        <f t="shared" ref="F972:F973" si="620">4/5*E972+1/5*J972</f>
        <v>18.400000000000002</v>
      </c>
      <c r="G972" s="20">
        <f t="shared" ref="G972:G973" si="621">3/5*E972+2/5*J972</f>
        <v>19.8</v>
      </c>
      <c r="H972" s="20">
        <f t="shared" ref="H972:H973" si="622">2/5*E972+3/5*J972</f>
        <v>21.2</v>
      </c>
      <c r="I972" s="20">
        <f t="shared" ref="I972:I973" si="623">1/5*E972+4/5*J972</f>
        <v>22.6</v>
      </c>
      <c r="J972" s="23">
        <v>24</v>
      </c>
      <c r="K972" s="21">
        <f t="shared" ref="K972:K973" si="624">0.66*J972+0.33*M972</f>
        <v>24.09</v>
      </c>
      <c r="L972" s="21">
        <f t="shared" ref="L972:L973" si="625">0.33*J972+0.66*M972</f>
        <v>24.42</v>
      </c>
      <c r="M972" s="23">
        <v>25</v>
      </c>
    </row>
    <row r="973" spans="2:13" x14ac:dyDescent="0.2">
      <c r="C973" t="s">
        <v>982</v>
      </c>
      <c r="E973">
        <v>17</v>
      </c>
      <c r="F973" s="20">
        <f t="shared" si="620"/>
        <v>18.8</v>
      </c>
      <c r="G973" s="20">
        <f t="shared" si="621"/>
        <v>20.6</v>
      </c>
      <c r="H973" s="20">
        <f t="shared" si="622"/>
        <v>22.4</v>
      </c>
      <c r="I973" s="20">
        <f t="shared" si="623"/>
        <v>24.200000000000003</v>
      </c>
      <c r="J973" s="23">
        <v>26</v>
      </c>
      <c r="K973" s="21">
        <f t="shared" si="624"/>
        <v>26.73</v>
      </c>
      <c r="L973" s="21">
        <f t="shared" si="625"/>
        <v>27.72</v>
      </c>
      <c r="M973" s="23">
        <v>29</v>
      </c>
    </row>
    <row r="975" spans="2:13" ht="15" x14ac:dyDescent="0.25">
      <c r="B975" s="2" t="s">
        <v>232</v>
      </c>
    </row>
    <row r="976" spans="2:13" ht="15" x14ac:dyDescent="0.25">
      <c r="C976" s="13" t="s">
        <v>230</v>
      </c>
      <c r="E976" s="2">
        <v>2011</v>
      </c>
      <c r="F976" s="2">
        <v>2015</v>
      </c>
      <c r="G976" s="2">
        <v>2020</v>
      </c>
      <c r="H976" s="2">
        <v>2025</v>
      </c>
      <c r="I976" s="2">
        <v>2030</v>
      </c>
      <c r="J976" s="2">
        <v>2035</v>
      </c>
      <c r="K976" s="2">
        <v>2040</v>
      </c>
      <c r="L976" s="2">
        <v>2045</v>
      </c>
      <c r="M976" s="2">
        <v>2050</v>
      </c>
    </row>
    <row r="977" spans="1:14" x14ac:dyDescent="0.2">
      <c r="C977" t="s">
        <v>20</v>
      </c>
      <c r="E977" t="s">
        <v>231</v>
      </c>
      <c r="F977" s="21"/>
      <c r="G977" s="21"/>
      <c r="H977" s="21"/>
      <c r="I977" s="21"/>
      <c r="J977" s="34">
        <v>7.8</v>
      </c>
      <c r="K977" s="34"/>
      <c r="L977" s="34"/>
      <c r="M977" s="34">
        <v>6.1</v>
      </c>
    </row>
    <row r="978" spans="1:14" x14ac:dyDescent="0.2">
      <c r="C978" t="s">
        <v>21</v>
      </c>
      <c r="E978" t="s">
        <v>231</v>
      </c>
      <c r="F978" s="21"/>
      <c r="G978" s="21"/>
      <c r="H978" s="21"/>
      <c r="I978" s="21"/>
      <c r="J978" s="34">
        <v>5.3</v>
      </c>
      <c r="K978" s="34"/>
      <c r="L978" s="34"/>
      <c r="M978" s="34">
        <v>3.5</v>
      </c>
    </row>
    <row r="979" spans="1:14" x14ac:dyDescent="0.2">
      <c r="C979" t="s">
        <v>22</v>
      </c>
      <c r="E979" t="s">
        <v>231</v>
      </c>
      <c r="F979" s="21"/>
      <c r="G979" s="21"/>
      <c r="H979" s="21"/>
      <c r="I979" s="21"/>
      <c r="J979" s="34">
        <v>1.7</v>
      </c>
      <c r="K979" s="34"/>
      <c r="L979" s="34"/>
      <c r="M979" s="34">
        <v>1.4</v>
      </c>
    </row>
    <row r="983" spans="1:14" ht="25.5" x14ac:dyDescent="0.35">
      <c r="A983" s="5" t="s">
        <v>235</v>
      </c>
    </row>
    <row r="985" spans="1:14" ht="15" x14ac:dyDescent="0.25">
      <c r="B985" s="2" t="s">
        <v>269</v>
      </c>
    </row>
    <row r="986" spans="1:14" ht="15" x14ac:dyDescent="0.25">
      <c r="C986" t="s">
        <v>268</v>
      </c>
      <c r="E986" s="2">
        <v>2010</v>
      </c>
      <c r="G986" s="2">
        <v>2020</v>
      </c>
      <c r="I986" s="2">
        <v>2030</v>
      </c>
      <c r="J986" s="2">
        <v>2035</v>
      </c>
      <c r="K986" s="2">
        <v>2040</v>
      </c>
      <c r="M986" s="2">
        <v>2050</v>
      </c>
    </row>
    <row r="987" spans="1:14" ht="15" x14ac:dyDescent="0.25">
      <c r="E987" s="4">
        <v>7.8</v>
      </c>
      <c r="F987" s="4"/>
      <c r="G987" s="4">
        <v>8.4</v>
      </c>
      <c r="H987" s="4"/>
      <c r="I987" s="4">
        <v>8.6999999999999993</v>
      </c>
      <c r="J987" s="4">
        <v>8.8000000000000007</v>
      </c>
      <c r="K987" s="4">
        <v>8.9</v>
      </c>
      <c r="L987" s="4"/>
      <c r="M987" s="4">
        <v>9</v>
      </c>
      <c r="N987" s="2" t="s">
        <v>272</v>
      </c>
    </row>
    <row r="988" spans="1:14" x14ac:dyDescent="0.2">
      <c r="E988" s="4"/>
      <c r="F988" s="4"/>
      <c r="G988" s="4"/>
      <c r="H988" s="4"/>
      <c r="I988" s="4"/>
      <c r="J988" s="4"/>
      <c r="K988" s="4"/>
      <c r="L988" s="4"/>
      <c r="M988" s="4"/>
    </row>
    <row r="989" spans="1:14" ht="15" x14ac:dyDescent="0.25">
      <c r="B989" s="2" t="s">
        <v>270</v>
      </c>
    </row>
    <row r="990" spans="1:14" ht="15" x14ac:dyDescent="0.25">
      <c r="B990" s="2"/>
      <c r="C990" t="s">
        <v>271</v>
      </c>
      <c r="E990" s="2">
        <v>2010</v>
      </c>
      <c r="G990" s="2">
        <v>2020</v>
      </c>
      <c r="I990" s="2">
        <v>2030</v>
      </c>
      <c r="J990" s="2">
        <v>2035</v>
      </c>
      <c r="K990" s="2">
        <v>2040</v>
      </c>
      <c r="M990" s="2">
        <v>2050</v>
      </c>
    </row>
    <row r="991" spans="1:14" ht="15" x14ac:dyDescent="0.25">
      <c r="E991" s="4"/>
      <c r="F991" s="4"/>
      <c r="G991" s="4"/>
      <c r="H991" s="4"/>
      <c r="I991" s="4"/>
      <c r="J991" s="4"/>
      <c r="K991" s="4"/>
      <c r="L991" s="4"/>
      <c r="M991" s="35">
        <f>(1+0.012)^40-1</f>
        <v>0.6114636003931293</v>
      </c>
      <c r="N991" s="16" t="s">
        <v>273</v>
      </c>
    </row>
    <row r="992" spans="1:14" ht="15" x14ac:dyDescent="0.25">
      <c r="E992" s="4"/>
      <c r="F992" s="4"/>
      <c r="G992" s="4"/>
      <c r="H992" s="4"/>
      <c r="I992" s="4"/>
      <c r="J992" s="4"/>
      <c r="K992" s="4"/>
      <c r="L992" s="4"/>
      <c r="M992" s="35"/>
      <c r="N992" s="16"/>
    </row>
    <row r="993" spans="2:14" ht="15" x14ac:dyDescent="0.25">
      <c r="B993" s="2" t="s">
        <v>305</v>
      </c>
      <c r="E993" s="2">
        <v>2010</v>
      </c>
      <c r="F993" s="2">
        <v>2015</v>
      </c>
      <c r="G993" s="2">
        <v>2020</v>
      </c>
      <c r="H993" s="2">
        <v>2025</v>
      </c>
      <c r="I993" s="2">
        <v>2030</v>
      </c>
      <c r="J993" s="2">
        <v>2035</v>
      </c>
      <c r="K993" s="2">
        <v>2040</v>
      </c>
      <c r="L993" s="2">
        <v>2045</v>
      </c>
      <c r="M993" s="2">
        <v>2050</v>
      </c>
      <c r="N993" s="16"/>
    </row>
    <row r="994" spans="2:14" ht="15" x14ac:dyDescent="0.25">
      <c r="B994" s="2"/>
      <c r="C994" t="s">
        <v>128</v>
      </c>
      <c r="E994" s="4"/>
      <c r="F994" s="4"/>
      <c r="G994" s="4"/>
      <c r="H994" s="4"/>
      <c r="I994" s="4"/>
      <c r="J994" s="4"/>
      <c r="K994" s="4"/>
      <c r="L994" s="4"/>
      <c r="M994" s="35"/>
      <c r="N994" s="16"/>
    </row>
    <row r="995" spans="2:14" ht="15" x14ac:dyDescent="0.25">
      <c r="B995" s="2"/>
      <c r="E995" s="36">
        <v>60</v>
      </c>
      <c r="F995" s="98">
        <f>1/2*(E995+G995)</f>
        <v>63</v>
      </c>
      <c r="G995" s="36">
        <v>66</v>
      </c>
      <c r="H995" s="98">
        <f>1/2*(G995+I995)</f>
        <v>69</v>
      </c>
      <c r="I995" s="36">
        <v>72</v>
      </c>
      <c r="J995" s="36">
        <v>72</v>
      </c>
      <c r="K995" s="36">
        <v>72</v>
      </c>
      <c r="L995" s="98">
        <f>1/2*(K995+M995)</f>
        <v>71</v>
      </c>
      <c r="M995" s="36">
        <v>70</v>
      </c>
      <c r="N995" s="16"/>
    </row>
    <row r="996" spans="2:14" ht="15" x14ac:dyDescent="0.25">
      <c r="B996" s="2"/>
      <c r="C996" t="s">
        <v>304</v>
      </c>
      <c r="E996" s="36"/>
      <c r="F996" s="36"/>
      <c r="G996" s="36"/>
      <c r="H996" s="36"/>
      <c r="I996" s="36"/>
      <c r="J996" s="36"/>
      <c r="K996" s="36"/>
      <c r="L996" s="36"/>
      <c r="M996" s="36">
        <v>80</v>
      </c>
      <c r="N996" s="16"/>
    </row>
    <row r="997" spans="2:14" ht="15" x14ac:dyDescent="0.25">
      <c r="B997" s="2"/>
      <c r="E997" s="36"/>
      <c r="F997" s="36"/>
      <c r="G997" s="36"/>
      <c r="H997" s="36"/>
      <c r="I997" s="36"/>
      <c r="J997" s="36"/>
      <c r="K997" s="36"/>
      <c r="L997" s="36"/>
      <c r="M997" s="36"/>
      <c r="N997" s="16"/>
    </row>
    <row r="998" spans="2:14" ht="15" x14ac:dyDescent="0.25">
      <c r="B998" s="2" t="s">
        <v>256</v>
      </c>
    </row>
    <row r="999" spans="2:14" x14ac:dyDescent="0.2">
      <c r="C999" s="13" t="s">
        <v>228</v>
      </c>
    </row>
    <row r="1000" spans="2:14" x14ac:dyDescent="0.2">
      <c r="C1000" t="s">
        <v>257</v>
      </c>
      <c r="M1000" s="10">
        <v>0.3</v>
      </c>
    </row>
    <row r="1002" spans="2:14" ht="15" x14ac:dyDescent="0.25">
      <c r="B1002" s="2" t="s">
        <v>258</v>
      </c>
    </row>
    <row r="1003" spans="2:14" x14ac:dyDescent="0.2">
      <c r="C1003" s="13" t="s">
        <v>259</v>
      </c>
    </row>
    <row r="1004" spans="2:14" x14ac:dyDescent="0.2">
      <c r="C1004" s="9" t="s">
        <v>7</v>
      </c>
      <c r="M1004">
        <v>8</v>
      </c>
    </row>
    <row r="1005" spans="2:14" x14ac:dyDescent="0.2">
      <c r="C1005" t="s">
        <v>260</v>
      </c>
      <c r="M1005">
        <v>10</v>
      </c>
    </row>
    <row r="1007" spans="2:14" ht="15" x14ac:dyDescent="0.25">
      <c r="B1007" s="2" t="s">
        <v>262</v>
      </c>
    </row>
    <row r="1008" spans="2:14" x14ac:dyDescent="0.2">
      <c r="C1008" t="s">
        <v>7</v>
      </c>
      <c r="M1008" t="s">
        <v>264</v>
      </c>
    </row>
    <row r="1009" spans="2:13" x14ac:dyDescent="0.2">
      <c r="C1009" t="s">
        <v>261</v>
      </c>
      <c r="M1009" s="10">
        <v>0.05</v>
      </c>
    </row>
    <row r="1010" spans="2:13" x14ac:dyDescent="0.2">
      <c r="C1010" t="s">
        <v>265</v>
      </c>
      <c r="M1010" s="10">
        <v>0.33</v>
      </c>
    </row>
    <row r="1011" spans="2:13" x14ac:dyDescent="0.2">
      <c r="C1011" t="s">
        <v>266</v>
      </c>
      <c r="M1011" s="10">
        <v>1</v>
      </c>
    </row>
    <row r="1012" spans="2:13" x14ac:dyDescent="0.2">
      <c r="C1012" t="s">
        <v>263</v>
      </c>
      <c r="M1012">
        <v>8</v>
      </c>
    </row>
    <row r="1013" spans="2:13" x14ac:dyDescent="0.2">
      <c r="C1013" t="s">
        <v>47</v>
      </c>
      <c r="K1013" t="s">
        <v>267</v>
      </c>
    </row>
    <row r="1015" spans="2:13" ht="15" x14ac:dyDescent="0.25">
      <c r="B1015" s="2" t="s">
        <v>274</v>
      </c>
    </row>
    <row r="1016" spans="2:13" ht="15" x14ac:dyDescent="0.25">
      <c r="B1016" s="2"/>
      <c r="C1016" s="13" t="s">
        <v>128</v>
      </c>
      <c r="E1016" s="2">
        <v>2010</v>
      </c>
      <c r="G1016" s="2">
        <v>2020</v>
      </c>
      <c r="I1016" s="2">
        <v>2030</v>
      </c>
      <c r="J1016" s="2">
        <v>2035</v>
      </c>
      <c r="K1016" s="2">
        <v>2040</v>
      </c>
      <c r="M1016" s="2">
        <v>2050</v>
      </c>
    </row>
    <row r="1017" spans="2:13" x14ac:dyDescent="0.2">
      <c r="C1017" t="s">
        <v>65</v>
      </c>
      <c r="E1017" s="1">
        <v>23.8</v>
      </c>
      <c r="F1017" s="1"/>
      <c r="G1017" s="1">
        <v>21.7</v>
      </c>
      <c r="H1017" s="1"/>
      <c r="I1017" s="1">
        <v>8.6</v>
      </c>
      <c r="J1017" s="1">
        <v>0</v>
      </c>
      <c r="K1017" s="1">
        <v>0</v>
      </c>
      <c r="L1017" s="1"/>
      <c r="M1017" s="1">
        <v>0</v>
      </c>
    </row>
    <row r="1018" spans="2:13" x14ac:dyDescent="0.2">
      <c r="C1018" t="s">
        <v>0</v>
      </c>
      <c r="E1018" s="1">
        <v>0.5</v>
      </c>
      <c r="F1018" s="1"/>
      <c r="G1018" s="1">
        <v>0.6</v>
      </c>
      <c r="H1018" s="1"/>
      <c r="I1018" s="1">
        <v>7.1</v>
      </c>
      <c r="J1018" s="1">
        <v>9.9</v>
      </c>
      <c r="K1018" s="1">
        <v>3.4</v>
      </c>
      <c r="L1018" s="1"/>
      <c r="M1018" s="1">
        <v>0</v>
      </c>
    </row>
    <row r="1019" spans="2:13" x14ac:dyDescent="0.2">
      <c r="C1019" t="s">
        <v>275</v>
      </c>
      <c r="E1019" s="1">
        <v>32.06</v>
      </c>
      <c r="F1019" s="1"/>
      <c r="G1019" s="1">
        <v>30.39</v>
      </c>
      <c r="H1019" s="1"/>
      <c r="I1019" s="1">
        <v>29.98</v>
      </c>
      <c r="J1019" s="1">
        <v>29.73</v>
      </c>
      <c r="K1019" s="1">
        <v>29.46</v>
      </c>
      <c r="L1019" s="1"/>
      <c r="M1019" s="1">
        <v>28.8</v>
      </c>
    </row>
    <row r="1020" spans="2:13" x14ac:dyDescent="0.2">
      <c r="C1020" t="s">
        <v>133</v>
      </c>
      <c r="E1020" s="1">
        <v>3.5</v>
      </c>
      <c r="F1020" s="1"/>
      <c r="G1020" s="1">
        <v>3.99</v>
      </c>
      <c r="H1020" s="1"/>
      <c r="I1020" s="1">
        <v>4.4800000000000004</v>
      </c>
      <c r="J1020" s="1">
        <v>4.72</v>
      </c>
      <c r="K1020" s="1">
        <v>4.87</v>
      </c>
      <c r="L1020" s="1"/>
      <c r="M1020" s="1">
        <v>4.92</v>
      </c>
    </row>
    <row r="1021" spans="2:13" x14ac:dyDescent="0.2">
      <c r="C1021" t="s">
        <v>7</v>
      </c>
      <c r="E1021" s="1">
        <v>0.08</v>
      </c>
      <c r="F1021" s="1"/>
      <c r="G1021" s="1">
        <v>2.4700000000000002</v>
      </c>
      <c r="H1021" s="1"/>
      <c r="I1021" s="1">
        <v>9.76</v>
      </c>
      <c r="J1021" s="1">
        <v>13.67</v>
      </c>
      <c r="K1021" s="1">
        <v>17.309999999999999</v>
      </c>
      <c r="L1021" s="1"/>
      <c r="M1021" s="1">
        <v>20.45</v>
      </c>
    </row>
    <row r="1022" spans="2:13" x14ac:dyDescent="0.2">
      <c r="C1022" t="s">
        <v>8</v>
      </c>
      <c r="E1022" s="1">
        <v>0.03</v>
      </c>
      <c r="F1022" s="1"/>
      <c r="G1022" s="1">
        <v>0.54</v>
      </c>
      <c r="H1022" s="1"/>
      <c r="I1022" s="1">
        <v>3.02</v>
      </c>
      <c r="J1022" s="1">
        <v>4.45</v>
      </c>
      <c r="K1022" s="1">
        <v>5.8</v>
      </c>
      <c r="L1022" s="1"/>
      <c r="M1022" s="1">
        <v>7.11</v>
      </c>
    </row>
    <row r="1023" spans="2:13" ht="15" x14ac:dyDescent="0.25">
      <c r="C1023" t="s">
        <v>278</v>
      </c>
      <c r="E1023" s="1">
        <v>1.1000000000000001</v>
      </c>
      <c r="F1023" s="1"/>
      <c r="G1023" s="1">
        <v>3</v>
      </c>
      <c r="H1023" s="1"/>
      <c r="I1023" s="1">
        <v>3.8</v>
      </c>
      <c r="J1023" s="1">
        <v>4</v>
      </c>
      <c r="K1023" s="1">
        <v>3.7</v>
      </c>
      <c r="L1023" s="1"/>
      <c r="M1023" s="1">
        <v>0</v>
      </c>
    </row>
    <row r="1024" spans="2:13" ht="15" x14ac:dyDescent="0.25">
      <c r="C1024" t="s">
        <v>279</v>
      </c>
      <c r="E1024" s="1">
        <v>0.28000000000000003</v>
      </c>
      <c r="F1024" s="1"/>
      <c r="G1024" s="1">
        <v>1.2</v>
      </c>
      <c r="H1024" s="1"/>
      <c r="I1024" s="1">
        <v>2.4700000000000002</v>
      </c>
      <c r="J1024" s="1">
        <v>2.4500000000000002</v>
      </c>
      <c r="K1024" s="1">
        <v>2.4300000000000002</v>
      </c>
      <c r="L1024" s="1"/>
      <c r="M1024" s="1">
        <v>2.38</v>
      </c>
    </row>
    <row r="1025" spans="2:16" x14ac:dyDescent="0.2">
      <c r="C1025" t="s">
        <v>101</v>
      </c>
      <c r="E1025" s="38">
        <v>0.13</v>
      </c>
      <c r="F1025" s="37"/>
      <c r="G1025" s="38">
        <v>0.28000000000000003</v>
      </c>
      <c r="H1025" s="38"/>
      <c r="I1025" s="38">
        <v>0.63</v>
      </c>
      <c r="J1025" s="38">
        <v>0.85</v>
      </c>
      <c r="K1025" s="38">
        <v>0.99</v>
      </c>
      <c r="L1025" s="38"/>
      <c r="M1025" s="38">
        <v>1.31</v>
      </c>
    </row>
    <row r="1026" spans="2:16" ht="15" x14ac:dyDescent="0.25">
      <c r="C1026" t="s">
        <v>280</v>
      </c>
      <c r="E1026" s="1">
        <v>1.73</v>
      </c>
      <c r="F1026" s="1"/>
      <c r="G1026" s="1">
        <v>1.71</v>
      </c>
      <c r="H1026" s="1"/>
      <c r="I1026" s="1">
        <v>1.69</v>
      </c>
      <c r="J1026" s="1">
        <v>1.67</v>
      </c>
      <c r="K1026" s="1">
        <v>1.66</v>
      </c>
      <c r="L1026" s="1"/>
      <c r="M1026" s="1">
        <v>1.62</v>
      </c>
    </row>
    <row r="1027" spans="2:16" ht="15" x14ac:dyDescent="0.25">
      <c r="C1027" t="s">
        <v>281</v>
      </c>
      <c r="E1027" s="4">
        <v>0</v>
      </c>
      <c r="G1027" s="1">
        <v>0</v>
      </c>
      <c r="I1027" s="1">
        <v>0.19</v>
      </c>
      <c r="J1027" s="1">
        <v>0.92</v>
      </c>
      <c r="K1027" s="1">
        <v>2.4</v>
      </c>
      <c r="M1027" s="1">
        <v>5.88</v>
      </c>
    </row>
    <row r="1028" spans="2:16" x14ac:dyDescent="0.2">
      <c r="C1028" t="s">
        <v>277</v>
      </c>
      <c r="E1028" s="21">
        <f>SUM(E1017:E1027)</f>
        <v>63.21</v>
      </c>
      <c r="F1028" s="21"/>
      <c r="G1028" s="21">
        <f t="shared" ref="G1028:I1028" si="626">SUM(G1017:G1027)</f>
        <v>65.88</v>
      </c>
      <c r="H1028" s="21"/>
      <c r="I1028" s="21">
        <f t="shared" si="626"/>
        <v>71.719999999999985</v>
      </c>
      <c r="J1028" s="21">
        <f>SUM(J1017:J1027)</f>
        <v>72.36</v>
      </c>
      <c r="K1028" s="21">
        <f t="shared" ref="K1028" si="627">SUM(K1017:K1027)</f>
        <v>72.02</v>
      </c>
      <c r="L1028" s="21"/>
      <c r="M1028" s="21">
        <f t="shared" ref="M1028" si="628">SUM(M1017:M1027)</f>
        <v>72.47</v>
      </c>
    </row>
    <row r="1030" spans="2:16" ht="15" x14ac:dyDescent="0.25">
      <c r="B1030" s="2" t="s">
        <v>282</v>
      </c>
    </row>
    <row r="1031" spans="2:16" ht="15" x14ac:dyDescent="0.25">
      <c r="C1031" s="13" t="s">
        <v>300</v>
      </c>
      <c r="E1031" s="39" t="s">
        <v>285</v>
      </c>
      <c r="F1031" s="39" t="s">
        <v>286</v>
      </c>
      <c r="G1031" s="39" t="s">
        <v>287</v>
      </c>
      <c r="H1031" s="39" t="s">
        <v>288</v>
      </c>
      <c r="I1031" s="39" t="s">
        <v>289</v>
      </c>
      <c r="J1031" s="39" t="s">
        <v>290</v>
      </c>
      <c r="K1031" s="39" t="s">
        <v>291</v>
      </c>
      <c r="L1031" s="39" t="s">
        <v>292</v>
      </c>
      <c r="M1031" s="39" t="s">
        <v>293</v>
      </c>
      <c r="N1031" s="39" t="s">
        <v>294</v>
      </c>
      <c r="O1031" s="39" t="s">
        <v>295</v>
      </c>
      <c r="P1031" s="39" t="s">
        <v>296</v>
      </c>
    </row>
    <row r="1032" spans="2:16" x14ac:dyDescent="0.2">
      <c r="C1032" t="s">
        <v>0</v>
      </c>
      <c r="E1032">
        <v>8</v>
      </c>
      <c r="F1032">
        <v>8</v>
      </c>
      <c r="G1032">
        <v>13</v>
      </c>
      <c r="H1032">
        <v>7</v>
      </c>
      <c r="I1032">
        <v>2</v>
      </c>
      <c r="J1032">
        <v>0</v>
      </c>
      <c r="K1032">
        <v>0</v>
      </c>
      <c r="L1032">
        <v>0</v>
      </c>
      <c r="M1032">
        <v>11</v>
      </c>
      <c r="N1032">
        <v>14</v>
      </c>
      <c r="O1032">
        <v>8</v>
      </c>
      <c r="P1032">
        <v>9</v>
      </c>
    </row>
    <row r="1033" spans="2:16" x14ac:dyDescent="0.2">
      <c r="C1033" t="s">
        <v>47</v>
      </c>
      <c r="E1033">
        <v>1</v>
      </c>
      <c r="F1033">
        <v>1</v>
      </c>
      <c r="G1033">
        <v>1</v>
      </c>
      <c r="H1033">
        <v>1</v>
      </c>
      <c r="I1033">
        <v>0.1</v>
      </c>
      <c r="J1033">
        <v>0</v>
      </c>
      <c r="K1033">
        <v>0</v>
      </c>
      <c r="L1033">
        <v>0</v>
      </c>
      <c r="M1033">
        <v>0</v>
      </c>
      <c r="N1033">
        <v>0.5</v>
      </c>
      <c r="O1033">
        <v>1</v>
      </c>
      <c r="P1033">
        <v>1</v>
      </c>
    </row>
    <row r="1034" spans="2:16" x14ac:dyDescent="0.2">
      <c r="C1034" t="s">
        <v>6</v>
      </c>
      <c r="E1034">
        <v>14</v>
      </c>
      <c r="F1034">
        <v>10</v>
      </c>
      <c r="G1034">
        <v>5</v>
      </c>
      <c r="H1034">
        <v>2</v>
      </c>
      <c r="I1034">
        <v>1</v>
      </c>
      <c r="J1034">
        <v>0</v>
      </c>
      <c r="K1034">
        <v>0</v>
      </c>
      <c r="L1034">
        <v>0</v>
      </c>
      <c r="M1034">
        <v>0.5</v>
      </c>
      <c r="N1034">
        <v>3</v>
      </c>
      <c r="O1034">
        <v>10</v>
      </c>
      <c r="P1034">
        <v>13</v>
      </c>
    </row>
    <row r="1035" spans="2:16" x14ac:dyDescent="0.2">
      <c r="C1035" t="s">
        <v>7</v>
      </c>
      <c r="E1035">
        <v>6</v>
      </c>
      <c r="F1035">
        <v>7</v>
      </c>
      <c r="G1035">
        <v>10</v>
      </c>
      <c r="H1035">
        <v>11</v>
      </c>
      <c r="I1035">
        <v>12</v>
      </c>
      <c r="J1035">
        <v>12</v>
      </c>
      <c r="K1035">
        <v>13</v>
      </c>
      <c r="L1035">
        <v>12</v>
      </c>
      <c r="M1035">
        <v>10</v>
      </c>
      <c r="N1035">
        <v>7</v>
      </c>
      <c r="O1035">
        <v>5</v>
      </c>
      <c r="P1035">
        <v>5</v>
      </c>
    </row>
    <row r="1036" spans="2:16" x14ac:dyDescent="0.2">
      <c r="C1036" t="s">
        <v>8</v>
      </c>
      <c r="E1036">
        <v>3</v>
      </c>
      <c r="F1036">
        <v>3</v>
      </c>
      <c r="G1036">
        <v>2</v>
      </c>
      <c r="H1036">
        <v>2</v>
      </c>
      <c r="I1036">
        <v>2</v>
      </c>
      <c r="J1036">
        <v>2</v>
      </c>
      <c r="K1036">
        <v>2</v>
      </c>
      <c r="L1036">
        <v>2</v>
      </c>
      <c r="M1036">
        <v>3</v>
      </c>
      <c r="N1036">
        <v>4</v>
      </c>
      <c r="O1036">
        <v>4</v>
      </c>
      <c r="P1036">
        <v>4</v>
      </c>
    </row>
    <row r="1037" spans="2:16" x14ac:dyDescent="0.2">
      <c r="C1037" t="s">
        <v>276</v>
      </c>
      <c r="E1037">
        <v>2</v>
      </c>
      <c r="F1037">
        <v>2</v>
      </c>
      <c r="G1037">
        <v>1</v>
      </c>
      <c r="H1037">
        <v>1</v>
      </c>
      <c r="I1037">
        <v>1</v>
      </c>
      <c r="J1037">
        <v>1</v>
      </c>
      <c r="K1037">
        <v>1</v>
      </c>
      <c r="L1037">
        <v>1</v>
      </c>
      <c r="M1037">
        <v>1</v>
      </c>
      <c r="N1037">
        <v>1</v>
      </c>
      <c r="O1037">
        <v>1</v>
      </c>
      <c r="P1037">
        <v>2</v>
      </c>
    </row>
    <row r="1038" spans="2:16" x14ac:dyDescent="0.2">
      <c r="C1038" t="s">
        <v>284</v>
      </c>
      <c r="E1038">
        <v>14</v>
      </c>
      <c r="F1038">
        <v>12</v>
      </c>
      <c r="G1038">
        <v>1</v>
      </c>
      <c r="H1038">
        <v>1</v>
      </c>
      <c r="I1038">
        <v>0.1</v>
      </c>
      <c r="J1038">
        <v>0</v>
      </c>
      <c r="K1038">
        <v>0</v>
      </c>
      <c r="L1038">
        <v>0</v>
      </c>
      <c r="M1038">
        <v>2</v>
      </c>
      <c r="N1038">
        <v>2</v>
      </c>
      <c r="O1038">
        <v>15</v>
      </c>
      <c r="P1038">
        <v>15</v>
      </c>
    </row>
    <row r="1039" spans="2:16" x14ac:dyDescent="0.2">
      <c r="C1039" t="s">
        <v>99</v>
      </c>
      <c r="E1039">
        <v>11</v>
      </c>
      <c r="F1039">
        <v>9</v>
      </c>
      <c r="G1039">
        <v>14</v>
      </c>
      <c r="H1039">
        <v>20</v>
      </c>
      <c r="I1039">
        <v>26</v>
      </c>
      <c r="J1039">
        <v>29</v>
      </c>
      <c r="K1039">
        <v>29</v>
      </c>
      <c r="L1039">
        <v>28</v>
      </c>
      <c r="M1039">
        <v>16</v>
      </c>
      <c r="N1039">
        <v>13</v>
      </c>
      <c r="O1039">
        <v>8</v>
      </c>
      <c r="P1039">
        <v>7</v>
      </c>
    </row>
    <row r="1041" spans="2:18" ht="15" x14ac:dyDescent="0.25">
      <c r="C1041" s="13" t="s">
        <v>283</v>
      </c>
      <c r="D1041" s="39" t="str">
        <f>M1031</f>
        <v>Sep</v>
      </c>
      <c r="E1041" s="39" t="str">
        <f t="shared" ref="E1041:G1041" si="629">N1031</f>
        <v>Okt</v>
      </c>
      <c r="F1041" s="39" t="str">
        <f t="shared" si="629"/>
        <v>Nov</v>
      </c>
      <c r="G1041" s="39" t="str">
        <f t="shared" si="629"/>
        <v>Dez</v>
      </c>
      <c r="H1041" s="39" t="s">
        <v>285</v>
      </c>
      <c r="I1041" s="39" t="str">
        <f t="shared" ref="I1041:O1041" si="630">F1031</f>
        <v>Feb</v>
      </c>
      <c r="J1041" s="39" t="str">
        <f t="shared" si="630"/>
        <v>Mrz</v>
      </c>
      <c r="K1041" s="39" t="str">
        <f t="shared" si="630"/>
        <v>Apr</v>
      </c>
      <c r="L1041" s="39" t="str">
        <f t="shared" si="630"/>
        <v>Mai</v>
      </c>
      <c r="M1041" s="39" t="str">
        <f t="shared" si="630"/>
        <v>Jun</v>
      </c>
      <c r="N1041" s="39" t="str">
        <f t="shared" si="630"/>
        <v>Jul</v>
      </c>
      <c r="O1041" s="39" t="str">
        <f t="shared" si="630"/>
        <v>Aug</v>
      </c>
      <c r="P1041" s="2" t="s">
        <v>297</v>
      </c>
      <c r="Q1041" s="2" t="s">
        <v>298</v>
      </c>
      <c r="R1041" s="2" t="s">
        <v>299</v>
      </c>
    </row>
    <row r="1042" spans="2:18" x14ac:dyDescent="0.2">
      <c r="C1042" t="str">
        <f>C1039</f>
        <v>Laufwasserkraft</v>
      </c>
      <c r="D1042" s="20">
        <f>M1039/8</f>
        <v>2</v>
      </c>
      <c r="E1042" s="20">
        <f t="shared" ref="E1042:G1042" si="631">N1039/8</f>
        <v>1.625</v>
      </c>
      <c r="F1042" s="20">
        <f t="shared" si="631"/>
        <v>1</v>
      </c>
      <c r="G1042" s="20">
        <f t="shared" si="631"/>
        <v>0.875</v>
      </c>
      <c r="H1042" s="20">
        <f>E1039/8</f>
        <v>1.375</v>
      </c>
      <c r="I1042" s="20">
        <f t="shared" ref="I1042:O1042" si="632">F1039/8</f>
        <v>1.125</v>
      </c>
      <c r="J1042" s="20">
        <f t="shared" si="632"/>
        <v>1.75</v>
      </c>
      <c r="K1042" s="20">
        <f t="shared" si="632"/>
        <v>2.5</v>
      </c>
      <c r="L1042" s="20">
        <f t="shared" si="632"/>
        <v>3.25</v>
      </c>
      <c r="M1042" s="20">
        <f t="shared" si="632"/>
        <v>3.625</v>
      </c>
      <c r="N1042" s="20">
        <f t="shared" si="632"/>
        <v>3.625</v>
      </c>
      <c r="O1042" s="20">
        <f t="shared" si="632"/>
        <v>3.5</v>
      </c>
      <c r="P1042" s="41">
        <f>SUM(D1042:O1042)</f>
        <v>26.25</v>
      </c>
      <c r="Q1042" s="20"/>
    </row>
    <row r="1043" spans="2:18" x14ac:dyDescent="0.2">
      <c r="C1043" t="str">
        <f>C1038</f>
        <v>Speicherwasserkraft</v>
      </c>
      <c r="D1043" s="20">
        <f>M1038/8</f>
        <v>0.25</v>
      </c>
      <c r="E1043" s="20">
        <f t="shared" ref="E1043:G1043" si="633">N1038/8</f>
        <v>0.25</v>
      </c>
      <c r="F1043" s="20">
        <f t="shared" si="633"/>
        <v>1.875</v>
      </c>
      <c r="G1043" s="20">
        <f t="shared" si="633"/>
        <v>1.875</v>
      </c>
      <c r="H1043" s="20">
        <f>E1038/8</f>
        <v>1.75</v>
      </c>
      <c r="I1043" s="20">
        <f t="shared" ref="I1043:O1043" si="634">F1038/8</f>
        <v>1.5</v>
      </c>
      <c r="J1043" s="20">
        <f t="shared" si="634"/>
        <v>0.125</v>
      </c>
      <c r="K1043" s="20">
        <f t="shared" si="634"/>
        <v>0.125</v>
      </c>
      <c r="L1043" s="20">
        <f t="shared" si="634"/>
        <v>1.2500000000000001E-2</v>
      </c>
      <c r="M1043" s="20">
        <f t="shared" si="634"/>
        <v>0</v>
      </c>
      <c r="N1043" s="20">
        <f t="shared" si="634"/>
        <v>0</v>
      </c>
      <c r="O1043" s="20">
        <f t="shared" si="634"/>
        <v>0</v>
      </c>
      <c r="P1043" s="41">
        <f t="shared" ref="P1043:P1049" si="635">SUM(D1043:O1043)</f>
        <v>7.7625000000000002</v>
      </c>
      <c r="Q1043" s="19">
        <f>P1042+P1043</f>
        <v>34.012500000000003</v>
      </c>
      <c r="R1043" s="37">
        <f>J1019+J1020</f>
        <v>34.450000000000003</v>
      </c>
    </row>
    <row r="1044" spans="2:18" x14ac:dyDescent="0.2">
      <c r="C1044" t="str">
        <f>C1037</f>
        <v>KVA</v>
      </c>
      <c r="D1044" s="20">
        <f>M1037/8</f>
        <v>0.125</v>
      </c>
      <c r="E1044" s="20">
        <f t="shared" ref="E1044:G1044" si="636">N1037/8</f>
        <v>0.125</v>
      </c>
      <c r="F1044" s="20">
        <f t="shared" si="636"/>
        <v>0.125</v>
      </c>
      <c r="G1044" s="20">
        <f t="shared" si="636"/>
        <v>0.25</v>
      </c>
      <c r="H1044" s="20">
        <f>E1037/8</f>
        <v>0.25</v>
      </c>
      <c r="I1044" s="20">
        <f t="shared" ref="I1044:O1044" si="637">F1037/8</f>
        <v>0.25</v>
      </c>
      <c r="J1044" s="20">
        <f t="shared" si="637"/>
        <v>0.125</v>
      </c>
      <c r="K1044" s="20">
        <f t="shared" si="637"/>
        <v>0.125</v>
      </c>
      <c r="L1044" s="20">
        <f t="shared" si="637"/>
        <v>0.125</v>
      </c>
      <c r="M1044" s="20">
        <f t="shared" si="637"/>
        <v>0.125</v>
      </c>
      <c r="N1044" s="20">
        <f t="shared" si="637"/>
        <v>0.125</v>
      </c>
      <c r="O1044" s="20">
        <f t="shared" si="637"/>
        <v>0.125</v>
      </c>
      <c r="P1044" s="19">
        <f t="shared" si="635"/>
        <v>1.875</v>
      </c>
      <c r="Q1044" s="20"/>
      <c r="R1044" s="37">
        <f>J1026</f>
        <v>1.67</v>
      </c>
    </row>
    <row r="1045" spans="2:18" x14ac:dyDescent="0.2">
      <c r="C1045" t="str">
        <f>C1036</f>
        <v>Wind</v>
      </c>
      <c r="D1045" s="20">
        <f>M1036/8</f>
        <v>0.375</v>
      </c>
      <c r="E1045" s="20">
        <f t="shared" ref="E1045:G1045" si="638">N1036/8</f>
        <v>0.5</v>
      </c>
      <c r="F1045" s="20">
        <f t="shared" si="638"/>
        <v>0.5</v>
      </c>
      <c r="G1045" s="20">
        <f t="shared" si="638"/>
        <v>0.5</v>
      </c>
      <c r="H1045" s="20">
        <f>E1036/8</f>
        <v>0.375</v>
      </c>
      <c r="I1045" s="20">
        <f t="shared" ref="I1045:O1045" si="639">F1036/8</f>
        <v>0.375</v>
      </c>
      <c r="J1045" s="20">
        <f t="shared" si="639"/>
        <v>0.25</v>
      </c>
      <c r="K1045" s="20">
        <f t="shared" si="639"/>
        <v>0.25</v>
      </c>
      <c r="L1045" s="20">
        <f t="shared" si="639"/>
        <v>0.25</v>
      </c>
      <c r="M1045" s="20">
        <f t="shared" si="639"/>
        <v>0.25</v>
      </c>
      <c r="N1045" s="20">
        <f t="shared" si="639"/>
        <v>0.25</v>
      </c>
      <c r="O1045" s="20">
        <f t="shared" si="639"/>
        <v>0.25</v>
      </c>
      <c r="P1045" s="19">
        <f t="shared" si="635"/>
        <v>4.125</v>
      </c>
      <c r="Q1045" s="20"/>
      <c r="R1045" s="37">
        <f>J1022</f>
        <v>4.45</v>
      </c>
    </row>
    <row r="1046" spans="2:18" x14ac:dyDescent="0.2">
      <c r="C1046" t="str">
        <f>C1035</f>
        <v>PV</v>
      </c>
      <c r="D1046" s="20">
        <f>M1035/8</f>
        <v>1.25</v>
      </c>
      <c r="E1046" s="20">
        <f t="shared" ref="E1046:G1046" si="640">N1035/8</f>
        <v>0.875</v>
      </c>
      <c r="F1046" s="20">
        <f t="shared" si="640"/>
        <v>0.625</v>
      </c>
      <c r="G1046" s="20">
        <f t="shared" si="640"/>
        <v>0.625</v>
      </c>
      <c r="H1046" s="20">
        <f>E1035/8</f>
        <v>0.75</v>
      </c>
      <c r="I1046" s="20">
        <f t="shared" ref="I1046:O1046" si="641">F1035/8</f>
        <v>0.875</v>
      </c>
      <c r="J1046" s="20">
        <f t="shared" si="641"/>
        <v>1.25</v>
      </c>
      <c r="K1046" s="20">
        <f t="shared" si="641"/>
        <v>1.375</v>
      </c>
      <c r="L1046" s="20">
        <f t="shared" si="641"/>
        <v>1.5</v>
      </c>
      <c r="M1046" s="20">
        <f t="shared" si="641"/>
        <v>1.5</v>
      </c>
      <c r="N1046" s="20">
        <f t="shared" si="641"/>
        <v>1.625</v>
      </c>
      <c r="O1046" s="20">
        <f t="shared" si="641"/>
        <v>1.5</v>
      </c>
      <c r="P1046" s="19">
        <f t="shared" si="635"/>
        <v>13.75</v>
      </c>
      <c r="Q1046" s="20"/>
      <c r="R1046" s="37">
        <f>J1021</f>
        <v>13.67</v>
      </c>
    </row>
    <row r="1047" spans="2:18" x14ac:dyDescent="0.2">
      <c r="C1047" t="str">
        <f>C1034</f>
        <v>WKK</v>
      </c>
      <c r="D1047" s="20">
        <f>M1034/8</f>
        <v>6.25E-2</v>
      </c>
      <c r="E1047" s="20">
        <f t="shared" ref="E1047:G1047" si="642">N1034/8</f>
        <v>0.375</v>
      </c>
      <c r="F1047" s="20">
        <f t="shared" si="642"/>
        <v>1.25</v>
      </c>
      <c r="G1047" s="20">
        <f t="shared" si="642"/>
        <v>1.625</v>
      </c>
      <c r="H1047" s="20">
        <f>E1034/8</f>
        <v>1.75</v>
      </c>
      <c r="I1047" s="20">
        <f t="shared" ref="I1047:O1047" si="643">F1034/8</f>
        <v>1.25</v>
      </c>
      <c r="J1047" s="20">
        <f t="shared" si="643"/>
        <v>0.625</v>
      </c>
      <c r="K1047" s="20">
        <f t="shared" si="643"/>
        <v>0.25</v>
      </c>
      <c r="L1047" s="20">
        <f t="shared" si="643"/>
        <v>0.125</v>
      </c>
      <c r="M1047" s="20">
        <f t="shared" si="643"/>
        <v>0</v>
      </c>
      <c r="N1047" s="20">
        <f t="shared" si="643"/>
        <v>0</v>
      </c>
      <c r="O1047" s="20">
        <f t="shared" si="643"/>
        <v>0</v>
      </c>
      <c r="P1047" s="19">
        <f t="shared" si="635"/>
        <v>7.3125</v>
      </c>
      <c r="Q1047" s="20"/>
      <c r="R1047" s="37">
        <f>J1023+J1024</f>
        <v>6.45</v>
      </c>
    </row>
    <row r="1048" spans="2:18" x14ac:dyDescent="0.2">
      <c r="C1048" t="str">
        <f>C1033</f>
        <v>Geothermie</v>
      </c>
      <c r="D1048" s="20">
        <f>M1033/8</f>
        <v>0</v>
      </c>
      <c r="E1048" s="20">
        <f t="shared" ref="E1048:G1048" si="644">N1033/8</f>
        <v>6.25E-2</v>
      </c>
      <c r="F1048" s="20">
        <f t="shared" si="644"/>
        <v>0.125</v>
      </c>
      <c r="G1048" s="20">
        <f t="shared" si="644"/>
        <v>0.125</v>
      </c>
      <c r="H1048" s="20">
        <f>E1033/8</f>
        <v>0.125</v>
      </c>
      <c r="I1048" s="20">
        <f t="shared" ref="I1048:O1048" si="645">F1033/8</f>
        <v>0.125</v>
      </c>
      <c r="J1048" s="20">
        <f t="shared" si="645"/>
        <v>0.125</v>
      </c>
      <c r="K1048" s="20">
        <f t="shared" si="645"/>
        <v>0.125</v>
      </c>
      <c r="L1048" s="20">
        <f t="shared" si="645"/>
        <v>1.2500000000000001E-2</v>
      </c>
      <c r="M1048" s="20">
        <f t="shared" si="645"/>
        <v>0</v>
      </c>
      <c r="N1048" s="20">
        <f t="shared" si="645"/>
        <v>0</v>
      </c>
      <c r="O1048" s="20">
        <f t="shared" si="645"/>
        <v>0</v>
      </c>
      <c r="P1048" s="19">
        <f t="shared" si="635"/>
        <v>0.82499999999999996</v>
      </c>
      <c r="Q1048" s="20"/>
      <c r="R1048" s="37">
        <f>J1027</f>
        <v>0.92</v>
      </c>
    </row>
    <row r="1049" spans="2:18" x14ac:dyDescent="0.2">
      <c r="C1049" t="str">
        <f>C1032</f>
        <v>Import</v>
      </c>
      <c r="D1049" s="20">
        <f>M1032/8</f>
        <v>1.375</v>
      </c>
      <c r="E1049" s="20">
        <f t="shared" ref="E1049:G1049" si="646">N1032/8</f>
        <v>1.75</v>
      </c>
      <c r="F1049" s="20">
        <f t="shared" si="646"/>
        <v>1</v>
      </c>
      <c r="G1049" s="20">
        <f t="shared" si="646"/>
        <v>1.125</v>
      </c>
      <c r="H1049" s="20">
        <f>E1032/8</f>
        <v>1</v>
      </c>
      <c r="I1049" s="20">
        <f t="shared" ref="I1049:O1049" si="647">F1032/8</f>
        <v>1</v>
      </c>
      <c r="J1049" s="20">
        <f t="shared" si="647"/>
        <v>1.625</v>
      </c>
      <c r="K1049" s="20">
        <f t="shared" si="647"/>
        <v>0.875</v>
      </c>
      <c r="L1049" s="20">
        <f t="shared" si="647"/>
        <v>0.25</v>
      </c>
      <c r="M1049" s="20">
        <f t="shared" si="647"/>
        <v>0</v>
      </c>
      <c r="N1049" s="20">
        <f t="shared" si="647"/>
        <v>0</v>
      </c>
      <c r="O1049" s="20">
        <f t="shared" si="647"/>
        <v>0</v>
      </c>
      <c r="P1049" s="40">
        <f t="shared" si="635"/>
        <v>10</v>
      </c>
      <c r="Q1049" s="20"/>
      <c r="R1049" s="37">
        <f>J1018</f>
        <v>9.9</v>
      </c>
    </row>
    <row r="1050" spans="2:18" x14ac:dyDescent="0.2">
      <c r="P1050" s="19">
        <f>SUM(P1042:P1049)</f>
        <v>71.900000000000006</v>
      </c>
      <c r="R1050" s="21">
        <f>J1028</f>
        <v>72.36</v>
      </c>
    </row>
    <row r="1051" spans="2:18" ht="15" x14ac:dyDescent="0.25">
      <c r="B1051" s="2" t="s">
        <v>303</v>
      </c>
    </row>
    <row r="1052" spans="2:18" ht="15" x14ac:dyDescent="0.25">
      <c r="C1052" s="13" t="s">
        <v>187</v>
      </c>
      <c r="E1052" s="2">
        <v>2010</v>
      </c>
      <c r="F1052" s="2">
        <v>2015</v>
      </c>
      <c r="G1052" s="2">
        <v>2020</v>
      </c>
      <c r="H1052" s="2">
        <v>2025</v>
      </c>
      <c r="I1052" s="2"/>
      <c r="J1052" s="2"/>
      <c r="K1052" s="2"/>
      <c r="L1052" s="2"/>
      <c r="M1052" s="2">
        <v>2050</v>
      </c>
    </row>
    <row r="1053" spans="2:18" x14ac:dyDescent="0.2">
      <c r="C1053" t="s">
        <v>301</v>
      </c>
      <c r="E1053" t="s">
        <v>3</v>
      </c>
      <c r="F1053" t="s">
        <v>3</v>
      </c>
      <c r="G1053" t="s">
        <v>3</v>
      </c>
      <c r="H1053" t="s">
        <v>3</v>
      </c>
      <c r="M1053">
        <v>80</v>
      </c>
    </row>
    <row r="1054" spans="2:18" x14ac:dyDescent="0.2">
      <c r="C1054" t="s">
        <v>302</v>
      </c>
      <c r="E1054" t="s">
        <v>3</v>
      </c>
      <c r="F1054" t="s">
        <v>3</v>
      </c>
      <c r="G1054" t="s">
        <v>3</v>
      </c>
      <c r="H1054" s="24">
        <f>15*0.01*G995</f>
        <v>9.9</v>
      </c>
    </row>
    <row r="1058" spans="1:13" ht="25.5" x14ac:dyDescent="0.35">
      <c r="A1058" s="5" t="s">
        <v>306</v>
      </c>
    </row>
    <row r="1060" spans="1:13" ht="15" x14ac:dyDescent="0.25">
      <c r="B1060" s="2" t="s">
        <v>309</v>
      </c>
    </row>
    <row r="1061" spans="1:13" ht="15" x14ac:dyDescent="0.25">
      <c r="C1061" s="13" t="s">
        <v>268</v>
      </c>
      <c r="E1061" s="2">
        <v>2010</v>
      </c>
      <c r="F1061" s="2">
        <v>2015</v>
      </c>
      <c r="G1061" s="2">
        <v>2020</v>
      </c>
      <c r="H1061" s="2">
        <v>2025</v>
      </c>
      <c r="I1061" s="2">
        <v>2030</v>
      </c>
      <c r="J1061" s="2">
        <v>2035</v>
      </c>
      <c r="K1061" s="2">
        <v>2040</v>
      </c>
      <c r="M1061" s="2">
        <v>2050</v>
      </c>
    </row>
    <row r="1062" spans="1:13" x14ac:dyDescent="0.2">
      <c r="C1062" t="s">
        <v>314</v>
      </c>
      <c r="E1062" s="4">
        <v>7.8</v>
      </c>
      <c r="F1062" s="4">
        <v>8.1</v>
      </c>
      <c r="G1062" s="4">
        <v>8.4</v>
      </c>
      <c r="H1062" s="4">
        <v>8.6</v>
      </c>
      <c r="I1062" s="4">
        <v>8.6999999999999993</v>
      </c>
      <c r="J1062" s="4"/>
      <c r="K1062" s="4">
        <v>8.9</v>
      </c>
      <c r="L1062" s="4"/>
      <c r="M1062" s="4">
        <v>9</v>
      </c>
    </row>
    <row r="1063" spans="1:13" x14ac:dyDescent="0.2"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5" x14ac:dyDescent="0.25">
      <c r="B1064" s="2" t="s">
        <v>311</v>
      </c>
    </row>
    <row r="1065" spans="1:13" ht="15" x14ac:dyDescent="0.25">
      <c r="C1065" s="13" t="s">
        <v>310</v>
      </c>
      <c r="E1065" s="2">
        <v>2010</v>
      </c>
      <c r="F1065" s="2">
        <v>2015</v>
      </c>
      <c r="G1065" s="2">
        <v>2020</v>
      </c>
      <c r="H1065" s="2">
        <v>2025</v>
      </c>
      <c r="I1065" s="2">
        <v>2030</v>
      </c>
      <c r="J1065" s="2">
        <v>2035</v>
      </c>
      <c r="K1065" s="2">
        <v>2040</v>
      </c>
      <c r="M1065" s="2">
        <v>2050</v>
      </c>
    </row>
    <row r="1066" spans="1:13" x14ac:dyDescent="0.2">
      <c r="C1066" t="s">
        <v>328</v>
      </c>
      <c r="E1066" s="42">
        <v>1.2999999999999999E-2</v>
      </c>
      <c r="F1066" s="42">
        <v>1.2999999999999999E-2</v>
      </c>
      <c r="G1066" s="42">
        <v>8.0000000000000002E-3</v>
      </c>
      <c r="H1066" s="42">
        <v>8.0000000000000002E-3</v>
      </c>
      <c r="I1066" s="42">
        <v>8.0000000000000002E-3</v>
      </c>
      <c r="J1066" s="42">
        <v>8.0000000000000002E-3</v>
      </c>
      <c r="K1066" s="42">
        <v>8.0000000000000002E-3</v>
      </c>
      <c r="L1066" s="42"/>
      <c r="M1066" s="42">
        <v>8.0000000000000002E-3</v>
      </c>
    </row>
    <row r="1067" spans="1:13" x14ac:dyDescent="0.2">
      <c r="C1067" t="s">
        <v>313</v>
      </c>
      <c r="E1067" s="43" t="s">
        <v>3</v>
      </c>
      <c r="F1067" s="43" t="s">
        <v>3</v>
      </c>
      <c r="G1067" s="43" t="s">
        <v>3</v>
      </c>
      <c r="H1067" s="43" t="s">
        <v>3</v>
      </c>
      <c r="I1067" s="43" t="s">
        <v>3</v>
      </c>
      <c r="J1067" s="43" t="s">
        <v>3</v>
      </c>
      <c r="K1067" s="43" t="s">
        <v>3</v>
      </c>
      <c r="L1067" s="43"/>
      <c r="M1067" s="42">
        <v>8.9999999999999993E-3</v>
      </c>
    </row>
    <row r="1068" spans="1:13" x14ac:dyDescent="0.2">
      <c r="C1068" t="s">
        <v>312</v>
      </c>
      <c r="E1068" t="s">
        <v>3</v>
      </c>
      <c r="F1068" t="s">
        <v>3</v>
      </c>
      <c r="G1068" t="s">
        <v>3</v>
      </c>
      <c r="H1068" t="s">
        <v>3</v>
      </c>
      <c r="I1068" t="s">
        <v>3</v>
      </c>
      <c r="J1068" t="s">
        <v>3</v>
      </c>
      <c r="K1068" t="s">
        <v>3</v>
      </c>
      <c r="M1068" s="44">
        <f>(1+E1066)^10*(1+G1066)^40-1</f>
        <v>0.56500503092034848</v>
      </c>
    </row>
    <row r="1070" spans="1:13" ht="15" x14ac:dyDescent="0.25">
      <c r="B1070" s="2" t="s">
        <v>327</v>
      </c>
    </row>
    <row r="1071" spans="1:13" ht="15" x14ac:dyDescent="0.25">
      <c r="B1071" s="2"/>
      <c r="C1071" s="13" t="s">
        <v>369</v>
      </c>
      <c r="E1071" s="2">
        <v>2010</v>
      </c>
      <c r="F1071" s="2">
        <v>2015</v>
      </c>
      <c r="G1071" s="2">
        <v>2020</v>
      </c>
      <c r="H1071" s="2"/>
      <c r="I1071" s="2">
        <v>2030</v>
      </c>
      <c r="J1071" s="2"/>
      <c r="K1071" s="2">
        <v>2040</v>
      </c>
      <c r="M1071" s="2">
        <v>2050</v>
      </c>
    </row>
    <row r="1072" spans="1:13" x14ac:dyDescent="0.2">
      <c r="C1072" t="s">
        <v>365</v>
      </c>
      <c r="E1072">
        <v>0</v>
      </c>
      <c r="F1072">
        <v>0</v>
      </c>
      <c r="G1072">
        <v>4</v>
      </c>
      <c r="H1072" s="20">
        <f>0.5*(G1072+I1072)</f>
        <v>10.5</v>
      </c>
      <c r="I1072">
        <v>17</v>
      </c>
      <c r="J1072" s="20">
        <f>0.5*(I1072+K1072)</f>
        <v>23</v>
      </c>
      <c r="K1072">
        <v>29</v>
      </c>
      <c r="L1072" s="20">
        <f>0.5*(K1072+M1072)</f>
        <v>33</v>
      </c>
      <c r="M1072">
        <v>37</v>
      </c>
    </row>
    <row r="1073" spans="2:14" x14ac:dyDescent="0.2">
      <c r="C1073" t="s">
        <v>366</v>
      </c>
      <c r="E1073">
        <v>11</v>
      </c>
      <c r="F1073">
        <v>13</v>
      </c>
      <c r="G1073">
        <v>15</v>
      </c>
      <c r="H1073" s="20">
        <f t="shared" ref="H1073:J1075" si="648">0.5*(G1073+I1073)</f>
        <v>16</v>
      </c>
      <c r="I1073">
        <v>17</v>
      </c>
      <c r="J1073" s="20">
        <f t="shared" si="648"/>
        <v>17</v>
      </c>
      <c r="K1073">
        <v>17</v>
      </c>
      <c r="L1073" s="20">
        <f t="shared" ref="L1073" si="649">0.5*(K1073+M1073)</f>
        <v>17</v>
      </c>
      <c r="M1073">
        <v>17</v>
      </c>
    </row>
    <row r="1074" spans="2:14" x14ac:dyDescent="0.2">
      <c r="C1074" t="s">
        <v>367</v>
      </c>
      <c r="E1074">
        <v>69</v>
      </c>
      <c r="F1074">
        <v>69</v>
      </c>
      <c r="G1074">
        <v>67</v>
      </c>
      <c r="H1074" s="20">
        <f t="shared" si="648"/>
        <v>63</v>
      </c>
      <c r="I1074">
        <v>59</v>
      </c>
      <c r="J1074" s="20">
        <f t="shared" si="648"/>
        <v>55.5</v>
      </c>
      <c r="K1074">
        <v>52</v>
      </c>
      <c r="L1074" s="20">
        <f t="shared" ref="L1074" si="650">0.5*(K1074+M1074)</f>
        <v>50</v>
      </c>
      <c r="M1074">
        <v>48</v>
      </c>
    </row>
    <row r="1075" spans="2:14" x14ac:dyDescent="0.2">
      <c r="C1075" t="s">
        <v>368</v>
      </c>
      <c r="E1075">
        <v>134</v>
      </c>
      <c r="F1075">
        <v>132</v>
      </c>
      <c r="G1075">
        <v>126</v>
      </c>
      <c r="H1075" s="20">
        <f t="shared" si="648"/>
        <v>121.5</v>
      </c>
      <c r="I1075">
        <v>117</v>
      </c>
      <c r="J1075" s="20">
        <f t="shared" si="648"/>
        <v>116.5</v>
      </c>
      <c r="K1075">
        <v>116</v>
      </c>
      <c r="L1075" s="20">
        <f t="shared" ref="L1075" si="651">0.5*(K1075+M1075)</f>
        <v>114.5</v>
      </c>
      <c r="M1075">
        <v>113</v>
      </c>
    </row>
    <row r="1076" spans="2:14" ht="15" x14ac:dyDescent="0.25">
      <c r="C1076" s="9" t="s">
        <v>393</v>
      </c>
      <c r="E1076" s="21">
        <f>1/3.6*SUM(E1072:E1075)</f>
        <v>59.44444444444445</v>
      </c>
      <c r="F1076" s="21">
        <f t="shared" ref="F1076:M1076" si="652">1/3.6*SUM(F1072:F1075)</f>
        <v>59.44444444444445</v>
      </c>
      <c r="G1076" s="21">
        <f t="shared" si="652"/>
        <v>58.888888888888893</v>
      </c>
      <c r="H1076" s="21">
        <f t="shared" si="652"/>
        <v>58.611111111111114</v>
      </c>
      <c r="I1076" s="21">
        <f t="shared" si="652"/>
        <v>58.333333333333336</v>
      </c>
      <c r="J1076" s="21">
        <f t="shared" si="652"/>
        <v>58.888888888888893</v>
      </c>
      <c r="K1076" s="21">
        <f t="shared" si="652"/>
        <v>59.44444444444445</v>
      </c>
      <c r="L1076" s="21">
        <f t="shared" si="652"/>
        <v>59.583333333333336</v>
      </c>
      <c r="M1076" s="21">
        <f t="shared" si="652"/>
        <v>59.722222222222221</v>
      </c>
    </row>
    <row r="1077" spans="2:14" ht="15" x14ac:dyDescent="0.25">
      <c r="C1077" s="9" t="s">
        <v>392</v>
      </c>
      <c r="E1077" s="21"/>
      <c r="F1077" s="21"/>
      <c r="G1077" s="21"/>
      <c r="H1077" s="21"/>
      <c r="I1077" s="21"/>
      <c r="J1077" s="21"/>
      <c r="K1077" s="21"/>
      <c r="L1077" s="21"/>
      <c r="M1077" s="21">
        <f>M1076-2.4</f>
        <v>57.322222222222223</v>
      </c>
      <c r="N1077" s="2" t="s">
        <v>380</v>
      </c>
    </row>
    <row r="1078" spans="2:14" x14ac:dyDescent="0.2">
      <c r="E1078" s="21"/>
      <c r="F1078" s="21"/>
      <c r="G1078" s="21"/>
      <c r="H1078" s="21"/>
      <c r="I1078" s="21"/>
      <c r="J1078" s="21"/>
      <c r="K1078" s="21"/>
      <c r="L1078" s="21"/>
      <c r="M1078" s="21"/>
    </row>
    <row r="1079" spans="2:14" ht="15" x14ac:dyDescent="0.25">
      <c r="B1079" s="2" t="s">
        <v>308</v>
      </c>
    </row>
    <row r="1080" spans="2:14" ht="15" x14ac:dyDescent="0.25">
      <c r="B1080" s="2"/>
      <c r="C1080" t="s">
        <v>128</v>
      </c>
    </row>
    <row r="1081" spans="2:14" x14ac:dyDescent="0.2">
      <c r="C1081" t="s">
        <v>307</v>
      </c>
      <c r="M1081">
        <v>6.4</v>
      </c>
      <c r="N1081" t="s">
        <v>397</v>
      </c>
    </row>
    <row r="1082" spans="2:14" x14ac:dyDescent="0.2">
      <c r="C1082" t="s">
        <v>8</v>
      </c>
      <c r="J1082">
        <v>1.5</v>
      </c>
      <c r="M1082">
        <v>4</v>
      </c>
    </row>
    <row r="1083" spans="2:14" ht="15" x14ac:dyDescent="0.25">
      <c r="C1083" t="s">
        <v>47</v>
      </c>
      <c r="M1083">
        <v>3.8</v>
      </c>
      <c r="N1083" s="16" t="s">
        <v>315</v>
      </c>
    </row>
    <row r="1084" spans="2:14" x14ac:dyDescent="0.2">
      <c r="C1084" t="s">
        <v>1029</v>
      </c>
      <c r="M1084">
        <v>1</v>
      </c>
      <c r="N1084" s="72" t="s">
        <v>459</v>
      </c>
    </row>
    <row r="1085" spans="2:14" x14ac:dyDescent="0.2">
      <c r="C1085" t="s">
        <v>5</v>
      </c>
      <c r="M1085">
        <v>37</v>
      </c>
    </row>
    <row r="1086" spans="2:14" x14ac:dyDescent="0.2">
      <c r="C1086" t="s">
        <v>329</v>
      </c>
      <c r="M1086">
        <v>30</v>
      </c>
    </row>
    <row r="1087" spans="2:14" x14ac:dyDescent="0.2">
      <c r="C1087" t="s">
        <v>0</v>
      </c>
      <c r="M1087">
        <v>8</v>
      </c>
      <c r="N1087" t="s">
        <v>396</v>
      </c>
    </row>
    <row r="1089" spans="2:17" ht="15" x14ac:dyDescent="0.25">
      <c r="B1089" s="2" t="s">
        <v>419</v>
      </c>
    </row>
    <row r="1090" spans="2:17" ht="15" x14ac:dyDescent="0.25">
      <c r="C1090" s="13" t="s">
        <v>128</v>
      </c>
      <c r="E1090" s="2">
        <v>2010</v>
      </c>
      <c r="F1090" s="2">
        <v>2015</v>
      </c>
      <c r="G1090" s="2">
        <v>2020</v>
      </c>
      <c r="H1090" s="2"/>
      <c r="I1090" s="2">
        <v>2030</v>
      </c>
      <c r="J1090" s="2"/>
      <c r="K1090" s="2">
        <v>2040</v>
      </c>
      <c r="L1090" s="2"/>
      <c r="M1090" s="2">
        <v>2050</v>
      </c>
      <c r="N1090" t="s">
        <v>1</v>
      </c>
      <c r="O1090" t="s">
        <v>2</v>
      </c>
      <c r="P1090" t="s">
        <v>421</v>
      </c>
      <c r="Q1090" t="s">
        <v>422</v>
      </c>
    </row>
    <row r="1091" spans="2:17" ht="15" x14ac:dyDescent="0.25">
      <c r="C1091" s="2" t="s">
        <v>924</v>
      </c>
      <c r="E1091">
        <v>63</v>
      </c>
      <c r="F1091">
        <v>60</v>
      </c>
      <c r="G1091">
        <v>57</v>
      </c>
      <c r="H1091" s="21">
        <f>0.5*(G1091+I1091)</f>
        <v>55.5</v>
      </c>
      <c r="I1091">
        <v>54</v>
      </c>
      <c r="J1091" s="20">
        <f>0.5*(I1091+K1091)</f>
        <v>56</v>
      </c>
      <c r="K1091">
        <v>58</v>
      </c>
      <c r="L1091" s="20">
        <f>0.5*(K1091+M1091)</f>
        <v>60</v>
      </c>
      <c r="M1091">
        <v>62</v>
      </c>
    </row>
    <row r="1092" spans="2:17" x14ac:dyDescent="0.2">
      <c r="C1092" t="s">
        <v>330</v>
      </c>
      <c r="E1092">
        <v>0</v>
      </c>
      <c r="F1092">
        <v>0</v>
      </c>
      <c r="G1092">
        <v>0</v>
      </c>
      <c r="H1092" s="21">
        <f t="shared" ref="H1092:J1104" si="653">0.5*(G1092+I1092)</f>
        <v>0</v>
      </c>
      <c r="I1092">
        <v>0</v>
      </c>
      <c r="J1092" s="20">
        <f t="shared" si="653"/>
        <v>0</v>
      </c>
      <c r="K1092">
        <v>0</v>
      </c>
      <c r="L1092" s="20">
        <f t="shared" ref="L1092" si="654">0.5*(K1092+M1092)</f>
        <v>0</v>
      </c>
      <c r="M1092">
        <v>0</v>
      </c>
    </row>
    <row r="1093" spans="2:17" x14ac:dyDescent="0.2">
      <c r="C1093" t="s">
        <v>331</v>
      </c>
      <c r="E1093">
        <v>0</v>
      </c>
      <c r="F1093">
        <v>0</v>
      </c>
      <c r="G1093">
        <v>0</v>
      </c>
      <c r="H1093" s="21">
        <f t="shared" si="653"/>
        <v>0</v>
      </c>
      <c r="I1093">
        <v>0</v>
      </c>
      <c r="J1093" s="20">
        <f t="shared" si="653"/>
        <v>0</v>
      </c>
      <c r="K1093">
        <v>0</v>
      </c>
      <c r="L1093" s="20">
        <f t="shared" ref="L1093" si="655">0.5*(K1093+M1093)</f>
        <v>0</v>
      </c>
      <c r="M1093">
        <v>0</v>
      </c>
    </row>
    <row r="1094" spans="2:17" x14ac:dyDescent="0.2">
      <c r="C1094" t="s">
        <v>332</v>
      </c>
      <c r="E1094">
        <v>0</v>
      </c>
      <c r="F1094">
        <v>0</v>
      </c>
      <c r="G1094">
        <v>0</v>
      </c>
      <c r="H1094" s="21">
        <f t="shared" si="653"/>
        <v>0</v>
      </c>
      <c r="I1094">
        <v>0</v>
      </c>
      <c r="J1094" s="20">
        <f t="shared" si="653"/>
        <v>0</v>
      </c>
      <c r="K1094">
        <v>0</v>
      </c>
      <c r="L1094" s="20">
        <f t="shared" ref="L1094" si="656">0.5*(K1094+M1094)</f>
        <v>0</v>
      </c>
      <c r="M1094">
        <v>0</v>
      </c>
    </row>
    <row r="1095" spans="2:17" ht="15" x14ac:dyDescent="0.25">
      <c r="C1095" t="s">
        <v>353</v>
      </c>
      <c r="E1095" s="2">
        <v>0</v>
      </c>
      <c r="F1095" s="2">
        <v>0</v>
      </c>
      <c r="G1095" s="2">
        <v>0</v>
      </c>
      <c r="H1095" s="21">
        <f t="shared" si="653"/>
        <v>0</v>
      </c>
      <c r="I1095" s="2">
        <v>0</v>
      </c>
      <c r="J1095" s="20">
        <f t="shared" si="653"/>
        <v>0</v>
      </c>
      <c r="K1095" s="2">
        <v>0</v>
      </c>
      <c r="L1095" s="20">
        <f t="shared" ref="L1095" si="657">0.5*(K1095+M1095)</f>
        <v>0</v>
      </c>
      <c r="M1095" s="2">
        <v>0</v>
      </c>
    </row>
    <row r="1096" spans="2:17" x14ac:dyDescent="0.2">
      <c r="C1096" t="s">
        <v>333</v>
      </c>
      <c r="E1096">
        <v>0</v>
      </c>
      <c r="F1096">
        <v>0</v>
      </c>
      <c r="G1096">
        <v>0</v>
      </c>
      <c r="H1096" s="21">
        <f t="shared" si="653"/>
        <v>0</v>
      </c>
      <c r="I1096">
        <v>0</v>
      </c>
      <c r="J1096" s="20">
        <f t="shared" si="653"/>
        <v>0</v>
      </c>
      <c r="K1096">
        <v>0</v>
      </c>
      <c r="L1096" s="20">
        <f t="shared" ref="L1096" si="658">0.5*(K1096+M1096)</f>
        <v>0</v>
      </c>
      <c r="M1096">
        <v>0</v>
      </c>
    </row>
    <row r="1097" spans="2:17" x14ac:dyDescent="0.2">
      <c r="C1097" t="s">
        <v>334</v>
      </c>
      <c r="E1097">
        <v>0</v>
      </c>
      <c r="F1097">
        <v>0</v>
      </c>
      <c r="G1097">
        <v>0</v>
      </c>
      <c r="H1097" s="21">
        <f t="shared" si="653"/>
        <v>0</v>
      </c>
      <c r="I1097">
        <v>0</v>
      </c>
      <c r="J1097" s="20">
        <f t="shared" si="653"/>
        <v>0</v>
      </c>
      <c r="K1097">
        <v>0</v>
      </c>
      <c r="L1097" s="20">
        <f t="shared" ref="L1097" si="659">0.5*(K1097+M1097)</f>
        <v>0</v>
      </c>
      <c r="M1097">
        <v>0</v>
      </c>
    </row>
    <row r="1098" spans="2:17" x14ac:dyDescent="0.2">
      <c r="C1098" t="s">
        <v>335</v>
      </c>
      <c r="E1098">
        <v>26</v>
      </c>
      <c r="F1098">
        <v>22</v>
      </c>
      <c r="G1098">
        <v>16</v>
      </c>
      <c r="H1098" s="21">
        <f t="shared" si="653"/>
        <v>8</v>
      </c>
      <c r="I1098">
        <v>0</v>
      </c>
      <c r="J1098" s="20">
        <f t="shared" si="653"/>
        <v>0</v>
      </c>
      <c r="K1098">
        <v>0</v>
      </c>
      <c r="L1098" s="20">
        <f t="shared" ref="L1098" si="660">0.5*(K1098+M1098)</f>
        <v>0</v>
      </c>
      <c r="M1098">
        <v>0</v>
      </c>
    </row>
    <row r="1099" spans="2:17" x14ac:dyDescent="0.2">
      <c r="C1099" t="s">
        <v>101</v>
      </c>
      <c r="E1099">
        <v>0.1</v>
      </c>
      <c r="F1099">
        <v>0.1</v>
      </c>
      <c r="G1099">
        <v>0.1</v>
      </c>
      <c r="H1099" s="21">
        <f t="shared" si="653"/>
        <v>0.1</v>
      </c>
      <c r="I1099">
        <v>0.1</v>
      </c>
      <c r="J1099" s="20">
        <f t="shared" si="653"/>
        <v>0.25</v>
      </c>
      <c r="K1099">
        <v>0.4</v>
      </c>
      <c r="L1099" s="20">
        <f t="shared" ref="L1099" si="661">0.5*(K1099+M1099)</f>
        <v>0.65</v>
      </c>
      <c r="M1099">
        <v>0.9</v>
      </c>
    </row>
    <row r="1100" spans="2:17" ht="15" x14ac:dyDescent="0.25">
      <c r="C1100" s="2" t="s">
        <v>919</v>
      </c>
      <c r="E1100">
        <v>36</v>
      </c>
      <c r="F1100">
        <v>36</v>
      </c>
      <c r="G1100">
        <v>36</v>
      </c>
      <c r="H1100" s="21">
        <f t="shared" si="653"/>
        <v>36.5</v>
      </c>
      <c r="I1100">
        <v>37</v>
      </c>
      <c r="J1100" s="20">
        <f t="shared" si="653"/>
        <v>37</v>
      </c>
      <c r="K1100">
        <v>37</v>
      </c>
      <c r="L1100" s="20">
        <f t="shared" ref="L1100" si="662">0.5*(K1100+M1100)</f>
        <v>37</v>
      </c>
      <c r="M1100">
        <v>37</v>
      </c>
    </row>
    <row r="1101" spans="2:17" x14ac:dyDescent="0.2">
      <c r="C1101" s="9" t="s">
        <v>410</v>
      </c>
      <c r="H1101" s="21"/>
      <c r="J1101" s="20"/>
      <c r="L1101" s="20"/>
      <c r="M1101">
        <v>16.600000000000001</v>
      </c>
    </row>
    <row r="1102" spans="2:17" x14ac:dyDescent="0.2">
      <c r="C1102" t="s">
        <v>8</v>
      </c>
      <c r="E1102">
        <v>0.04</v>
      </c>
      <c r="F1102">
        <v>0.4</v>
      </c>
      <c r="G1102">
        <v>0.7</v>
      </c>
      <c r="H1102" s="19">
        <f t="shared" si="653"/>
        <v>1.65</v>
      </c>
      <c r="I1102">
        <v>2.6</v>
      </c>
      <c r="J1102" s="20">
        <f t="shared" si="653"/>
        <v>3</v>
      </c>
      <c r="K1102">
        <v>3.4</v>
      </c>
      <c r="L1102" s="20">
        <f t="shared" ref="L1102" si="663">0.5*(K1102+M1102)</f>
        <v>3.7</v>
      </c>
      <c r="M1102">
        <v>4</v>
      </c>
    </row>
    <row r="1103" spans="2:17" x14ac:dyDescent="0.2">
      <c r="C1103" t="s">
        <v>7</v>
      </c>
      <c r="E1103">
        <v>0.1</v>
      </c>
      <c r="F1103">
        <v>0.7</v>
      </c>
      <c r="G1103">
        <v>3.3</v>
      </c>
      <c r="H1103" s="19">
        <f t="shared" si="653"/>
        <v>9.15</v>
      </c>
      <c r="I1103">
        <v>15</v>
      </c>
      <c r="J1103" s="20">
        <f t="shared" si="653"/>
        <v>15.5</v>
      </c>
      <c r="K1103">
        <v>16</v>
      </c>
      <c r="L1103" s="20">
        <f t="shared" ref="L1103" si="664">0.5*(K1103+M1103)</f>
        <v>17.5</v>
      </c>
      <c r="M1103">
        <v>19</v>
      </c>
    </row>
    <row r="1104" spans="2:17" x14ac:dyDescent="0.2">
      <c r="C1104" s="14" t="s">
        <v>47</v>
      </c>
      <c r="D1104" s="14"/>
      <c r="E1104" s="14">
        <v>0</v>
      </c>
      <c r="F1104" s="14">
        <v>0</v>
      </c>
      <c r="G1104" s="14">
        <v>0.04</v>
      </c>
      <c r="H1104" s="19">
        <f t="shared" si="653"/>
        <v>7.0000000000000007E-2</v>
      </c>
      <c r="I1104" s="14">
        <v>0.1</v>
      </c>
      <c r="J1104" s="20">
        <f t="shared" si="653"/>
        <v>0.5</v>
      </c>
      <c r="K1104" s="14">
        <v>0.9</v>
      </c>
      <c r="L1104" s="20">
        <f t="shared" ref="L1104:L1129" si="665">0.5*(K1104+M1104)</f>
        <v>1.2</v>
      </c>
      <c r="M1104" s="14">
        <v>1.5</v>
      </c>
    </row>
    <row r="1105" spans="3:13" ht="15" x14ac:dyDescent="0.25">
      <c r="C1105" s="2" t="s">
        <v>6</v>
      </c>
      <c r="E1105">
        <v>3.4</v>
      </c>
      <c r="F1105">
        <v>4.5</v>
      </c>
      <c r="G1105">
        <v>5.7</v>
      </c>
      <c r="H1105" s="21">
        <f t="shared" ref="H1105" si="666">0.5*(G1105+I1105)</f>
        <v>6.75</v>
      </c>
      <c r="I1105" s="29">
        <v>7.8</v>
      </c>
      <c r="J1105" s="20">
        <f t="shared" ref="J1105" si="667">0.5*(I1105+K1105)</f>
        <v>8.25</v>
      </c>
      <c r="K1105" s="29">
        <v>8.6999999999999993</v>
      </c>
      <c r="L1105" s="20">
        <f t="shared" si="665"/>
        <v>8.9499999999999993</v>
      </c>
      <c r="M1105" s="29">
        <v>9.1999999999999993</v>
      </c>
    </row>
    <row r="1106" spans="3:13" x14ac:dyDescent="0.2">
      <c r="C1106" t="s">
        <v>330</v>
      </c>
      <c r="E1106">
        <v>1.1000000000000001</v>
      </c>
      <c r="F1106">
        <v>1.1000000000000001</v>
      </c>
      <c r="G1106">
        <v>1</v>
      </c>
      <c r="H1106" s="21">
        <f t="shared" ref="H1106" si="668">0.5*(G1106+I1106)</f>
        <v>0.95</v>
      </c>
      <c r="I1106">
        <v>0.9</v>
      </c>
      <c r="J1106" s="20">
        <f t="shared" ref="J1106" si="669">0.5*(I1106+K1106)</f>
        <v>0.85000000000000009</v>
      </c>
      <c r="K1106">
        <v>0.8</v>
      </c>
      <c r="L1106" s="20">
        <f t="shared" si="665"/>
        <v>0.75</v>
      </c>
      <c r="M1106">
        <v>0.7</v>
      </c>
    </row>
    <row r="1107" spans="3:13" x14ac:dyDescent="0.2">
      <c r="C1107" t="s">
        <v>331</v>
      </c>
      <c r="E1107">
        <v>0</v>
      </c>
      <c r="F1107">
        <v>0</v>
      </c>
      <c r="G1107">
        <v>0</v>
      </c>
      <c r="H1107" s="21">
        <f t="shared" ref="H1107" si="670">0.5*(G1107+I1107)</f>
        <v>0</v>
      </c>
      <c r="I1107">
        <v>0</v>
      </c>
      <c r="J1107" s="20">
        <f t="shared" ref="J1107" si="671">0.5*(I1107+K1107)</f>
        <v>0</v>
      </c>
      <c r="K1107">
        <v>0</v>
      </c>
      <c r="L1107" s="20">
        <f t="shared" si="665"/>
        <v>0</v>
      </c>
      <c r="M1107">
        <v>0</v>
      </c>
    </row>
    <row r="1108" spans="3:13" x14ac:dyDescent="0.2">
      <c r="C1108" t="s">
        <v>332</v>
      </c>
      <c r="E1108">
        <v>1</v>
      </c>
      <c r="F1108">
        <v>1.5</v>
      </c>
      <c r="G1108">
        <v>1.7</v>
      </c>
      <c r="H1108" s="21">
        <f t="shared" ref="H1108" si="672">0.5*(G1108+I1108)</f>
        <v>1.6</v>
      </c>
      <c r="I1108">
        <v>1.5</v>
      </c>
      <c r="J1108" s="20">
        <f t="shared" ref="J1108" si="673">0.5*(I1108+K1108)</f>
        <v>1.2</v>
      </c>
      <c r="K1108">
        <v>0.9</v>
      </c>
      <c r="L1108" s="20">
        <f t="shared" si="665"/>
        <v>0.55000000000000004</v>
      </c>
      <c r="M1108">
        <v>0.2</v>
      </c>
    </row>
    <row r="1109" spans="3:13" ht="15" x14ac:dyDescent="0.25">
      <c r="C1109" t="s">
        <v>353</v>
      </c>
      <c r="E1109" s="48">
        <v>0</v>
      </c>
      <c r="F1109" s="48">
        <v>0</v>
      </c>
      <c r="G1109" s="48">
        <v>0</v>
      </c>
      <c r="H1109" s="21">
        <f t="shared" ref="H1109" si="674">0.5*(G1109+I1109)</f>
        <v>0</v>
      </c>
      <c r="I1109" s="2">
        <v>0</v>
      </c>
      <c r="J1109" s="20">
        <f t="shared" ref="J1109" si="675">0.5*(I1109+K1109)</f>
        <v>0</v>
      </c>
      <c r="K1109" s="2">
        <v>0</v>
      </c>
      <c r="L1109" s="20">
        <f t="shared" si="665"/>
        <v>0</v>
      </c>
      <c r="M1109" s="2">
        <v>0</v>
      </c>
    </row>
    <row r="1110" spans="3:13" x14ac:dyDescent="0.2">
      <c r="C1110" t="s">
        <v>333</v>
      </c>
      <c r="E1110">
        <v>0.06</v>
      </c>
      <c r="F1110">
        <v>0.06</v>
      </c>
      <c r="G1110">
        <v>0.05</v>
      </c>
      <c r="H1110" s="21">
        <f t="shared" ref="H1110" si="676">0.5*(G1110+I1110)</f>
        <v>4.4999999999999998E-2</v>
      </c>
      <c r="I1110" s="29">
        <v>0.04</v>
      </c>
      <c r="J1110" s="20">
        <f t="shared" ref="J1110" si="677">0.5*(I1110+K1110)</f>
        <v>0.02</v>
      </c>
      <c r="K1110">
        <v>0</v>
      </c>
      <c r="L1110" s="20">
        <f t="shared" si="665"/>
        <v>0</v>
      </c>
      <c r="M1110">
        <v>0</v>
      </c>
    </row>
    <row r="1111" spans="3:13" x14ac:dyDescent="0.2">
      <c r="C1111" t="s">
        <v>101</v>
      </c>
      <c r="E1111">
        <v>1.2</v>
      </c>
      <c r="F1111">
        <v>1.8</v>
      </c>
      <c r="G1111">
        <v>2.8</v>
      </c>
      <c r="H1111" s="21">
        <f t="shared" ref="H1111" si="678">0.5*(G1111+I1111)</f>
        <v>3.65</v>
      </c>
      <c r="I1111">
        <v>4.5</v>
      </c>
      <c r="J1111" s="20">
        <f t="shared" ref="J1111" si="679">0.5*(I1111+K1111)</f>
        <v>4.8</v>
      </c>
      <c r="K1111" s="29">
        <v>5.0999999999999996</v>
      </c>
      <c r="L1111" s="20">
        <f t="shared" si="665"/>
        <v>5.25</v>
      </c>
      <c r="M1111" s="29">
        <v>5.4</v>
      </c>
    </row>
    <row r="1112" spans="3:13" x14ac:dyDescent="0.2">
      <c r="C1112" t="s">
        <v>47</v>
      </c>
      <c r="F1112">
        <v>0.1</v>
      </c>
      <c r="G1112">
        <v>0.2</v>
      </c>
      <c r="H1112" s="21">
        <f t="shared" ref="H1112" si="680">0.5*(G1112+I1112)</f>
        <v>0.4</v>
      </c>
      <c r="I1112">
        <v>0.6</v>
      </c>
      <c r="J1112" s="20">
        <f t="shared" ref="J1112" si="681">0.5*(I1112+K1112)</f>
        <v>1.05</v>
      </c>
      <c r="K1112">
        <v>1.5</v>
      </c>
      <c r="L1112" s="20">
        <f t="shared" si="665"/>
        <v>1.9</v>
      </c>
      <c r="M1112">
        <v>2.2999999999999998</v>
      </c>
    </row>
    <row r="1113" spans="3:13" x14ac:dyDescent="0.2">
      <c r="C1113" s="14" t="s">
        <v>336</v>
      </c>
      <c r="D1113" s="14"/>
      <c r="E1113" s="14">
        <v>0</v>
      </c>
      <c r="F1113" s="14">
        <v>0</v>
      </c>
      <c r="G1113" s="14">
        <v>0</v>
      </c>
      <c r="H1113" s="21">
        <f t="shared" ref="H1113" si="682">0.5*(G1113+I1113)</f>
        <v>0</v>
      </c>
      <c r="I1113" s="14">
        <v>0</v>
      </c>
      <c r="J1113" s="20">
        <f t="shared" ref="J1113" si="683">0.5*(I1113+K1113)</f>
        <v>0</v>
      </c>
      <c r="K1113" s="14">
        <v>0</v>
      </c>
      <c r="L1113" s="20">
        <f t="shared" si="665"/>
        <v>0.5</v>
      </c>
      <c r="M1113" s="14">
        <v>1</v>
      </c>
    </row>
    <row r="1114" spans="3:13" ht="15" x14ac:dyDescent="0.25">
      <c r="C1114" s="2" t="s">
        <v>920</v>
      </c>
      <c r="E1114" s="2">
        <v>66</v>
      </c>
      <c r="F1114" s="2">
        <v>64</v>
      </c>
      <c r="G1114" s="2">
        <v>63</v>
      </c>
      <c r="H1114" s="21">
        <f t="shared" ref="H1114" si="684">0.5*(G1114+I1114)</f>
        <v>62.5</v>
      </c>
      <c r="I1114" s="2">
        <v>62</v>
      </c>
      <c r="J1114" s="20">
        <f t="shared" ref="J1114" si="685">0.5*(I1114+K1114)</f>
        <v>64.5</v>
      </c>
      <c r="K1114" s="2">
        <v>67</v>
      </c>
      <c r="L1114" s="20">
        <f t="shared" si="665"/>
        <v>69</v>
      </c>
      <c r="M1114" s="2">
        <v>71</v>
      </c>
    </row>
    <row r="1115" spans="3:13" x14ac:dyDescent="0.2">
      <c r="C1115" t="s">
        <v>338</v>
      </c>
      <c r="E1115">
        <v>2.2999999999999998</v>
      </c>
      <c r="F1115">
        <v>2.6</v>
      </c>
      <c r="G1115">
        <v>2.8</v>
      </c>
      <c r="H1115" s="19">
        <f t="shared" ref="H1115" si="686">0.5*(G1115+I1115)</f>
        <v>2.5999999999999996</v>
      </c>
      <c r="I1115">
        <v>2.4</v>
      </c>
      <c r="J1115" s="20">
        <f t="shared" ref="J1115" si="687">0.5*(I1115+K1115)</f>
        <v>1.95</v>
      </c>
      <c r="K1115">
        <v>1.5</v>
      </c>
      <c r="L1115" s="20">
        <f t="shared" si="665"/>
        <v>1.1499999999999999</v>
      </c>
      <c r="M1115">
        <v>0.8</v>
      </c>
    </row>
    <row r="1116" spans="3:13" x14ac:dyDescent="0.2">
      <c r="C1116" t="s">
        <v>345</v>
      </c>
      <c r="E1116">
        <v>1.1000000000000001</v>
      </c>
      <c r="F1116">
        <v>1.1000000000000001</v>
      </c>
      <c r="G1116">
        <v>1</v>
      </c>
      <c r="H1116" s="19">
        <f t="shared" ref="H1116" si="688">0.5*(G1116+I1116)</f>
        <v>0.95</v>
      </c>
      <c r="I1116">
        <v>0.9</v>
      </c>
      <c r="J1116" s="20">
        <f t="shared" ref="J1116" si="689">0.5*(I1116+K1116)</f>
        <v>0.85000000000000009</v>
      </c>
      <c r="K1116">
        <v>0.8</v>
      </c>
      <c r="L1116" s="20">
        <f t="shared" si="665"/>
        <v>0.75</v>
      </c>
      <c r="M1116">
        <v>0.7</v>
      </c>
    </row>
    <row r="1117" spans="3:13" x14ac:dyDescent="0.2">
      <c r="C1117" t="s">
        <v>346</v>
      </c>
      <c r="E1117">
        <v>0</v>
      </c>
      <c r="F1117">
        <v>0</v>
      </c>
      <c r="G1117">
        <v>0</v>
      </c>
      <c r="H1117" s="19">
        <f t="shared" ref="H1117:H1118" si="690">0.5*(G1117+I1117)</f>
        <v>0</v>
      </c>
      <c r="I1117">
        <v>0</v>
      </c>
      <c r="J1117" s="20">
        <f t="shared" ref="J1117" si="691">0.5*(I1117+K1117)</f>
        <v>0</v>
      </c>
      <c r="K1117">
        <v>0</v>
      </c>
      <c r="L1117" s="20">
        <f t="shared" si="665"/>
        <v>0</v>
      </c>
      <c r="M1117">
        <v>0</v>
      </c>
    </row>
    <row r="1118" spans="3:13" x14ac:dyDescent="0.2">
      <c r="C1118" t="s">
        <v>347</v>
      </c>
      <c r="E1118" s="4">
        <v>1</v>
      </c>
      <c r="F1118" s="29">
        <v>1.5</v>
      </c>
      <c r="G1118" s="29">
        <v>1.7</v>
      </c>
      <c r="H1118" s="21">
        <f t="shared" si="690"/>
        <v>1.6</v>
      </c>
      <c r="I1118">
        <v>1.5</v>
      </c>
      <c r="J1118" s="20">
        <f t="shared" ref="J1118" si="692">0.5*(I1118+K1118)</f>
        <v>1.1499999999999999</v>
      </c>
      <c r="K1118">
        <v>0.8</v>
      </c>
      <c r="L1118" s="20">
        <f t="shared" si="665"/>
        <v>0.45</v>
      </c>
      <c r="M1118">
        <v>0.1</v>
      </c>
    </row>
    <row r="1119" spans="3:13" x14ac:dyDescent="0.2">
      <c r="C1119" t="s">
        <v>348</v>
      </c>
      <c r="E1119" s="29">
        <v>0.1</v>
      </c>
      <c r="F1119">
        <v>0.06</v>
      </c>
      <c r="G1119">
        <v>0.05</v>
      </c>
      <c r="H1119" s="21">
        <f t="shared" ref="H1119" si="693">0.5*(G1119+I1119)</f>
        <v>4.4999999999999998E-2</v>
      </c>
      <c r="I1119" s="29">
        <v>0.04</v>
      </c>
      <c r="J1119" s="20">
        <f t="shared" ref="J1119" si="694">0.5*(I1119+K1119)</f>
        <v>0.02</v>
      </c>
      <c r="K1119">
        <v>0</v>
      </c>
      <c r="L1119" s="20">
        <f t="shared" si="665"/>
        <v>0</v>
      </c>
      <c r="M1119">
        <v>0</v>
      </c>
    </row>
    <row r="1120" spans="3:13" x14ac:dyDescent="0.2">
      <c r="C1120" t="s">
        <v>349</v>
      </c>
      <c r="E1120">
        <v>0</v>
      </c>
      <c r="F1120">
        <v>0</v>
      </c>
      <c r="G1120">
        <v>0</v>
      </c>
      <c r="H1120" s="21">
        <f t="shared" ref="H1120" si="695">0.5*(G1120+I1120)</f>
        <v>0</v>
      </c>
      <c r="I1120">
        <v>0</v>
      </c>
      <c r="J1120" s="20">
        <f t="shared" ref="J1120" si="696">0.5*(I1120+K1120)</f>
        <v>0</v>
      </c>
      <c r="K1120">
        <v>0</v>
      </c>
      <c r="L1120" s="20">
        <f t="shared" si="665"/>
        <v>0</v>
      </c>
      <c r="M1120">
        <v>0</v>
      </c>
    </row>
    <row r="1121" spans="3:17" x14ac:dyDescent="0.2">
      <c r="C1121" t="s">
        <v>335</v>
      </c>
      <c r="E1121">
        <v>26</v>
      </c>
      <c r="F1121">
        <v>22</v>
      </c>
      <c r="G1121">
        <v>16</v>
      </c>
      <c r="H1121" s="21">
        <f t="shared" ref="H1121" si="697">0.5*(G1121+I1121)</f>
        <v>8</v>
      </c>
      <c r="I1121">
        <v>0</v>
      </c>
      <c r="J1121" s="20">
        <f t="shared" ref="J1121" si="698">0.5*(I1121+K1121)</f>
        <v>0</v>
      </c>
      <c r="K1121">
        <v>0</v>
      </c>
      <c r="L1121" s="20">
        <f t="shared" si="665"/>
        <v>0</v>
      </c>
      <c r="M1121">
        <v>0</v>
      </c>
    </row>
    <row r="1122" spans="3:17" x14ac:dyDescent="0.2">
      <c r="C1122" t="s">
        <v>336</v>
      </c>
      <c r="E1122">
        <v>0</v>
      </c>
      <c r="F1122">
        <v>0</v>
      </c>
      <c r="G1122">
        <v>0</v>
      </c>
      <c r="H1122" s="21">
        <f t="shared" ref="H1122" si="699">0.5*(G1122+I1122)</f>
        <v>0</v>
      </c>
      <c r="I1122">
        <v>0</v>
      </c>
      <c r="J1122" s="20">
        <f t="shared" ref="J1122" si="700">0.5*(I1122+K1122)</f>
        <v>0.5</v>
      </c>
      <c r="K1122">
        <v>1</v>
      </c>
      <c r="L1122" s="20">
        <f t="shared" si="665"/>
        <v>1</v>
      </c>
      <c r="M1122">
        <v>1</v>
      </c>
    </row>
    <row r="1123" spans="3:17" ht="15" x14ac:dyDescent="0.25">
      <c r="C1123" s="2" t="s">
        <v>339</v>
      </c>
      <c r="E1123" s="2">
        <v>37</v>
      </c>
      <c r="F1123" s="2">
        <v>39</v>
      </c>
      <c r="G1123" s="2">
        <v>43</v>
      </c>
      <c r="H1123" s="21">
        <f t="shared" ref="H1123" si="701">0.5*(G1123+I1123)</f>
        <v>51</v>
      </c>
      <c r="I1123" s="2">
        <v>59</v>
      </c>
      <c r="J1123" s="20">
        <f t="shared" ref="J1123" si="702">0.5*(I1123+K1123)</f>
        <v>62</v>
      </c>
      <c r="K1123" s="48">
        <v>65</v>
      </c>
      <c r="L1123" s="20">
        <f t="shared" si="665"/>
        <v>67.5</v>
      </c>
      <c r="M1123" s="48">
        <v>70</v>
      </c>
    </row>
    <row r="1124" spans="3:17" x14ac:dyDescent="0.2">
      <c r="C1124" t="s">
        <v>350</v>
      </c>
      <c r="E1124">
        <v>36</v>
      </c>
      <c r="F1124">
        <v>36</v>
      </c>
      <c r="G1124">
        <v>36</v>
      </c>
      <c r="H1124" s="21">
        <f t="shared" ref="H1124" si="703">0.5*(G1124+I1124)</f>
        <v>36.5</v>
      </c>
      <c r="I1124">
        <v>37</v>
      </c>
      <c r="J1124" s="20">
        <f t="shared" ref="J1124" si="704">0.5*(I1124+K1124)</f>
        <v>37</v>
      </c>
      <c r="K1124">
        <v>37</v>
      </c>
      <c r="L1124" s="20">
        <f t="shared" si="665"/>
        <v>37</v>
      </c>
      <c r="M1124">
        <v>37</v>
      </c>
    </row>
    <row r="1125" spans="3:17" x14ac:dyDescent="0.2">
      <c r="C1125" t="s">
        <v>351</v>
      </c>
      <c r="E1125">
        <v>0</v>
      </c>
      <c r="F1125">
        <v>0.4</v>
      </c>
      <c r="G1125">
        <v>0.7</v>
      </c>
      <c r="H1125" s="21">
        <f t="shared" ref="H1125" si="705">0.5*(G1125+I1125)</f>
        <v>1.65</v>
      </c>
      <c r="I1125">
        <v>2.6</v>
      </c>
      <c r="J1125" s="20">
        <f t="shared" ref="J1125" si="706">0.5*(I1125+K1125)</f>
        <v>3</v>
      </c>
      <c r="K1125">
        <v>3.4</v>
      </c>
      <c r="L1125" s="20">
        <f t="shared" si="665"/>
        <v>3.7</v>
      </c>
      <c r="M1125">
        <v>4</v>
      </c>
    </row>
    <row r="1126" spans="3:17" x14ac:dyDescent="0.2">
      <c r="C1126" t="s">
        <v>352</v>
      </c>
      <c r="E1126">
        <v>0.1</v>
      </c>
      <c r="F1126">
        <v>0.7</v>
      </c>
      <c r="G1126">
        <v>3.3</v>
      </c>
      <c r="H1126" s="21">
        <f t="shared" ref="H1126" si="707">0.5*(G1126+I1126)</f>
        <v>9.15</v>
      </c>
      <c r="I1126">
        <v>15</v>
      </c>
      <c r="J1126" s="20">
        <f t="shared" ref="J1126" si="708">0.5*(I1126+K1126)</f>
        <v>15.5</v>
      </c>
      <c r="K1126">
        <v>16</v>
      </c>
      <c r="L1126" s="20">
        <f t="shared" si="665"/>
        <v>17.5</v>
      </c>
      <c r="M1126">
        <v>19</v>
      </c>
    </row>
    <row r="1127" spans="3:17" x14ac:dyDescent="0.2">
      <c r="C1127" t="s">
        <v>354</v>
      </c>
      <c r="E1127">
        <v>1.3</v>
      </c>
      <c r="F1127">
        <v>1.9</v>
      </c>
      <c r="G1127">
        <v>2.9</v>
      </c>
      <c r="H1127" s="21">
        <f t="shared" ref="H1127" si="709">0.5*(G1127+I1127)</f>
        <v>3.8</v>
      </c>
      <c r="I1127">
        <v>4.7</v>
      </c>
      <c r="J1127" s="20">
        <f t="shared" ref="J1127" si="710">0.5*(I1127+K1127)</f>
        <v>5.0500000000000007</v>
      </c>
      <c r="K1127">
        <v>5.4</v>
      </c>
      <c r="L1127" s="20">
        <f t="shared" si="665"/>
        <v>5.9</v>
      </c>
      <c r="M1127">
        <v>6.4</v>
      </c>
    </row>
    <row r="1128" spans="3:17" x14ac:dyDescent="0.2">
      <c r="C1128" s="14" t="s">
        <v>355</v>
      </c>
      <c r="D1128" s="14"/>
      <c r="E1128" s="14">
        <v>0</v>
      </c>
      <c r="F1128" s="14">
        <v>0.1</v>
      </c>
      <c r="G1128" s="14">
        <v>0.2</v>
      </c>
      <c r="H1128" s="19">
        <f t="shared" ref="H1128:L1132" si="711">0.5*(G1128+I1128)</f>
        <v>0.5</v>
      </c>
      <c r="I1128" s="14">
        <v>0.8</v>
      </c>
      <c r="J1128" s="20">
        <f t="shared" ref="J1128:J1129" si="712">0.5*(I1128+K1128)</f>
        <v>1.6</v>
      </c>
      <c r="K1128" s="14">
        <v>2.4</v>
      </c>
      <c r="L1128" s="20">
        <f t="shared" si="665"/>
        <v>3.0999999999999996</v>
      </c>
      <c r="M1128" s="14">
        <v>3.8</v>
      </c>
      <c r="P1128" s="20"/>
      <c r="Q1128" s="20"/>
    </row>
    <row r="1129" spans="3:17" x14ac:dyDescent="0.2">
      <c r="C1129" t="s">
        <v>921</v>
      </c>
      <c r="E1129" s="52">
        <v>6.8</v>
      </c>
      <c r="F1129" s="52">
        <v>7</v>
      </c>
      <c r="G1129" s="52">
        <v>8</v>
      </c>
      <c r="H1129" s="19">
        <f t="shared" si="711"/>
        <v>8</v>
      </c>
      <c r="I1129" s="52">
        <v>8</v>
      </c>
      <c r="J1129" s="20">
        <f t="shared" si="712"/>
        <v>8</v>
      </c>
      <c r="K1129" s="52">
        <v>8</v>
      </c>
      <c r="L1129" s="20">
        <f t="shared" si="665"/>
        <v>8</v>
      </c>
      <c r="M1129" s="52">
        <v>8</v>
      </c>
      <c r="N1129" t="s">
        <v>398</v>
      </c>
    </row>
    <row r="1130" spans="3:17" ht="15" x14ac:dyDescent="0.25">
      <c r="C1130" s="2" t="s">
        <v>395</v>
      </c>
      <c r="E1130" s="20">
        <f t="shared" ref="E1130:F1130" si="713">-(-E1131-E1132-E1129+E1114)</f>
        <v>0.79999999999999716</v>
      </c>
      <c r="F1130" s="20">
        <f t="shared" si="713"/>
        <v>2</v>
      </c>
      <c r="G1130" s="20">
        <f>-(-G1131-G1132-G1129+G1114)</f>
        <v>4</v>
      </c>
      <c r="H1130" s="20">
        <f t="shared" ref="H1130" si="714">-(-H1131-H1132-H1129+H1114)</f>
        <v>4.5</v>
      </c>
      <c r="I1130" s="20">
        <f t="shared" ref="I1130:J1130" si="715">-(-I1131-I1132-I1129+I1114)</f>
        <v>5</v>
      </c>
      <c r="J1130" s="20">
        <f t="shared" si="715"/>
        <v>6.5</v>
      </c>
      <c r="K1130" s="20">
        <f t="shared" ref="K1130" si="716">-(-K1131-K1132-K1129+K1114)</f>
        <v>8</v>
      </c>
      <c r="L1130" s="20">
        <f t="shared" ref="L1130:M1130" si="717">-(-L1131-L1132-L1129+L1114)</f>
        <v>7.75</v>
      </c>
      <c r="M1130" s="20">
        <f t="shared" si="717"/>
        <v>7.5</v>
      </c>
    </row>
    <row r="1131" spans="3:17" ht="15" x14ac:dyDescent="0.25">
      <c r="C1131" s="51" t="s">
        <v>394</v>
      </c>
      <c r="E1131">
        <v>0</v>
      </c>
      <c r="F1131">
        <v>0</v>
      </c>
      <c r="G1131">
        <v>0</v>
      </c>
      <c r="H1131" s="19">
        <f t="shared" si="711"/>
        <v>0.5</v>
      </c>
      <c r="I1131" s="51">
        <v>1</v>
      </c>
      <c r="J1131" s="19">
        <f t="shared" si="711"/>
        <v>4</v>
      </c>
      <c r="K1131" s="51">
        <v>7</v>
      </c>
      <c r="L1131" s="19">
        <f t="shared" si="711"/>
        <v>8.75</v>
      </c>
      <c r="M1131" s="51">
        <v>10.5</v>
      </c>
      <c r="N1131" t="s">
        <v>398</v>
      </c>
    </row>
    <row r="1132" spans="3:17" ht="15" x14ac:dyDescent="0.25">
      <c r="C1132" s="2" t="s">
        <v>923</v>
      </c>
      <c r="E1132" s="2">
        <v>60</v>
      </c>
      <c r="F1132" s="2">
        <v>59</v>
      </c>
      <c r="G1132" s="2">
        <v>59</v>
      </c>
      <c r="H1132" s="19">
        <f t="shared" si="711"/>
        <v>58.5</v>
      </c>
      <c r="I1132" s="2">
        <v>58</v>
      </c>
      <c r="J1132" s="19">
        <f t="shared" si="711"/>
        <v>59</v>
      </c>
      <c r="K1132" s="2">
        <v>60</v>
      </c>
      <c r="L1132" s="19">
        <f t="shared" si="711"/>
        <v>60</v>
      </c>
      <c r="M1132" s="2">
        <v>60</v>
      </c>
    </row>
    <row r="1133" spans="3:17" x14ac:dyDescent="0.2">
      <c r="C1133" t="s">
        <v>341</v>
      </c>
      <c r="E1133">
        <v>0</v>
      </c>
      <c r="F1133">
        <v>1</v>
      </c>
      <c r="G1133">
        <v>4</v>
      </c>
      <c r="I1133">
        <v>17</v>
      </c>
      <c r="K1133">
        <v>20</v>
      </c>
      <c r="M1133">
        <v>23</v>
      </c>
    </row>
    <row r="1134" spans="3:17" x14ac:dyDescent="0.2">
      <c r="C1134" t="s">
        <v>342</v>
      </c>
      <c r="E1134" s="43">
        <v>2E-3</v>
      </c>
      <c r="F1134" s="43">
        <v>1.6E-2</v>
      </c>
      <c r="G1134" s="43">
        <v>6.3E-2</v>
      </c>
      <c r="H1134" s="43"/>
      <c r="I1134" s="43">
        <v>0.27700000000000002</v>
      </c>
      <c r="J1134" s="43"/>
      <c r="K1134" s="43">
        <v>0.29499999999999998</v>
      </c>
      <c r="L1134" s="43"/>
      <c r="M1134" s="43">
        <v>0.316</v>
      </c>
    </row>
    <row r="1135" spans="3:17" ht="15" x14ac:dyDescent="0.25">
      <c r="C1135" s="2" t="s">
        <v>343</v>
      </c>
      <c r="E1135" s="49">
        <v>0.56699999999999995</v>
      </c>
      <c r="F1135" s="49">
        <v>0.61099999999999999</v>
      </c>
      <c r="G1135" s="49">
        <v>0.69499999999999995</v>
      </c>
      <c r="H1135" s="49"/>
      <c r="I1135" s="49">
        <v>0.95699999999999996</v>
      </c>
      <c r="J1135" s="49"/>
      <c r="K1135" s="49">
        <v>0.96899999999999997</v>
      </c>
      <c r="L1135" s="49"/>
      <c r="M1135" s="49">
        <v>0.98</v>
      </c>
    </row>
    <row r="1136" spans="3:17" ht="15" x14ac:dyDescent="0.25">
      <c r="C1136" s="2" t="s">
        <v>344</v>
      </c>
      <c r="E1136" s="2">
        <v>0</v>
      </c>
      <c r="F1136" s="2">
        <v>1</v>
      </c>
      <c r="G1136" s="2">
        <v>2</v>
      </c>
      <c r="H1136" s="2"/>
      <c r="I1136" s="2">
        <v>4</v>
      </c>
      <c r="J1136" s="2"/>
      <c r="K1136" s="2">
        <v>6</v>
      </c>
      <c r="L1136" s="2"/>
      <c r="M1136" s="2">
        <v>8</v>
      </c>
    </row>
    <row r="1138" spans="2:14" ht="15" x14ac:dyDescent="0.25">
      <c r="B1138" s="2" t="s">
        <v>420</v>
      </c>
    </row>
    <row r="1139" spans="2:14" ht="15" x14ac:dyDescent="0.25">
      <c r="C1139" s="13" t="s">
        <v>129</v>
      </c>
      <c r="E1139" s="2">
        <v>2010</v>
      </c>
      <c r="F1139" s="2">
        <v>2015</v>
      </c>
      <c r="G1139" s="2">
        <v>2020</v>
      </c>
      <c r="H1139" s="2"/>
      <c r="I1139" s="2">
        <v>2030</v>
      </c>
      <c r="J1139" s="2"/>
      <c r="K1139" s="2">
        <v>2040</v>
      </c>
      <c r="L1139" s="2"/>
      <c r="M1139" s="2">
        <v>2050</v>
      </c>
    </row>
    <row r="1140" spans="2:14" ht="15" x14ac:dyDescent="0.25">
      <c r="C1140" s="2" t="s">
        <v>432</v>
      </c>
      <c r="E1140">
        <v>16</v>
      </c>
      <c r="F1140">
        <v>16</v>
      </c>
      <c r="G1140">
        <v>19</v>
      </c>
      <c r="H1140" s="19">
        <f t="shared" ref="H1140:J1156" si="718">0.5*(G1140+I1140)</f>
        <v>24.5</v>
      </c>
      <c r="I1140">
        <v>30</v>
      </c>
      <c r="J1140" s="19">
        <f t="shared" si="718"/>
        <v>31</v>
      </c>
      <c r="K1140">
        <v>32</v>
      </c>
      <c r="L1140" s="19">
        <f t="shared" ref="L1140" si="719">0.5*(K1140+M1140)</f>
        <v>33.5</v>
      </c>
      <c r="M1140">
        <v>35</v>
      </c>
    </row>
    <row r="1141" spans="2:14" x14ac:dyDescent="0.2">
      <c r="C1141" t="s">
        <v>356</v>
      </c>
      <c r="E1141">
        <v>0</v>
      </c>
      <c r="F1141">
        <v>0</v>
      </c>
      <c r="G1141">
        <v>0</v>
      </c>
      <c r="H1141" s="19">
        <f t="shared" si="718"/>
        <v>0</v>
      </c>
      <c r="I1141">
        <v>0</v>
      </c>
      <c r="J1141" s="19">
        <f t="shared" si="718"/>
        <v>0</v>
      </c>
      <c r="K1141">
        <v>0</v>
      </c>
      <c r="L1141" s="19">
        <f t="shared" ref="L1141" si="720">0.5*(K1141+M1141)</f>
        <v>0</v>
      </c>
      <c r="M1141">
        <v>0</v>
      </c>
    </row>
    <row r="1142" spans="2:14" x14ac:dyDescent="0.2">
      <c r="C1142" t="s">
        <v>331</v>
      </c>
      <c r="E1142">
        <v>0</v>
      </c>
      <c r="F1142">
        <v>0</v>
      </c>
      <c r="G1142">
        <v>0</v>
      </c>
      <c r="H1142" s="19">
        <f t="shared" si="718"/>
        <v>0</v>
      </c>
      <c r="I1142">
        <v>0</v>
      </c>
      <c r="J1142" s="19">
        <f t="shared" si="718"/>
        <v>0</v>
      </c>
      <c r="K1142">
        <v>0</v>
      </c>
      <c r="L1142" s="19">
        <f t="shared" ref="L1142" si="721">0.5*(K1142+M1142)</f>
        <v>0</v>
      </c>
      <c r="M1142">
        <v>0</v>
      </c>
    </row>
    <row r="1143" spans="2:14" x14ac:dyDescent="0.2">
      <c r="C1143" t="s">
        <v>363</v>
      </c>
      <c r="E1143">
        <v>0</v>
      </c>
      <c r="F1143">
        <v>0</v>
      </c>
      <c r="G1143">
        <v>0</v>
      </c>
      <c r="H1143" s="19">
        <f t="shared" si="718"/>
        <v>0</v>
      </c>
      <c r="I1143">
        <v>0</v>
      </c>
      <c r="J1143" s="19">
        <f t="shared" si="718"/>
        <v>0</v>
      </c>
      <c r="K1143">
        <v>0</v>
      </c>
      <c r="L1143" s="19">
        <f t="shared" ref="L1143" si="722">0.5*(K1143+M1143)</f>
        <v>0</v>
      </c>
      <c r="M1143">
        <v>0</v>
      </c>
    </row>
    <row r="1144" spans="2:14" x14ac:dyDescent="0.2">
      <c r="C1144" t="s">
        <v>333</v>
      </c>
      <c r="E1144">
        <v>0</v>
      </c>
      <c r="F1144">
        <v>0</v>
      </c>
      <c r="G1144">
        <v>0</v>
      </c>
      <c r="H1144" s="19">
        <f t="shared" si="718"/>
        <v>0</v>
      </c>
      <c r="I1144">
        <v>0</v>
      </c>
      <c r="J1144" s="19">
        <f t="shared" si="718"/>
        <v>0</v>
      </c>
      <c r="K1144">
        <v>0</v>
      </c>
      <c r="L1144" s="19">
        <f t="shared" ref="L1144" si="723">0.5*(K1144+M1144)</f>
        <v>0</v>
      </c>
      <c r="M1144">
        <v>0</v>
      </c>
    </row>
    <row r="1145" spans="2:14" x14ac:dyDescent="0.2">
      <c r="C1145" t="s">
        <v>334</v>
      </c>
      <c r="E1145">
        <v>0</v>
      </c>
      <c r="F1145">
        <v>0</v>
      </c>
      <c r="G1145">
        <v>0</v>
      </c>
      <c r="H1145" s="19">
        <f t="shared" si="718"/>
        <v>0</v>
      </c>
      <c r="I1145">
        <v>0</v>
      </c>
      <c r="J1145" s="19">
        <f t="shared" si="718"/>
        <v>0</v>
      </c>
      <c r="K1145">
        <v>0</v>
      </c>
      <c r="L1145" s="19">
        <f t="shared" ref="L1145" si="724">0.5*(K1145+M1145)</f>
        <v>0</v>
      </c>
      <c r="M1145">
        <v>0</v>
      </c>
    </row>
    <row r="1146" spans="2:14" x14ac:dyDescent="0.2">
      <c r="C1146" t="s">
        <v>335</v>
      </c>
      <c r="E1146">
        <v>3.3</v>
      </c>
      <c r="F1146">
        <v>3</v>
      </c>
      <c r="G1146">
        <v>2.2000000000000002</v>
      </c>
      <c r="H1146" s="19">
        <f t="shared" si="718"/>
        <v>1.1000000000000001</v>
      </c>
      <c r="I1146">
        <v>0</v>
      </c>
      <c r="J1146" s="19">
        <f t="shared" si="718"/>
        <v>0</v>
      </c>
      <c r="K1146">
        <v>0</v>
      </c>
      <c r="L1146" s="19">
        <f t="shared" ref="L1146" si="725">0.5*(K1146+M1146)</f>
        <v>0</v>
      </c>
      <c r="M1146">
        <v>0</v>
      </c>
    </row>
    <row r="1147" spans="2:14" x14ac:dyDescent="0.2">
      <c r="C1147" t="s">
        <v>340</v>
      </c>
      <c r="E1147">
        <v>0.01</v>
      </c>
      <c r="F1147">
        <v>0.03</v>
      </c>
      <c r="G1147">
        <v>0.03</v>
      </c>
      <c r="H1147" s="19">
        <f t="shared" si="718"/>
        <v>0.03</v>
      </c>
      <c r="I1147">
        <v>0.03</v>
      </c>
      <c r="J1147" s="19">
        <f t="shared" si="718"/>
        <v>6.5000000000000002E-2</v>
      </c>
      <c r="K1147">
        <v>0.1</v>
      </c>
      <c r="L1147" s="19">
        <f t="shared" ref="L1147" si="726">0.5*(K1147+M1147)</f>
        <v>0.15000000000000002</v>
      </c>
      <c r="M1147">
        <v>0.2</v>
      </c>
    </row>
    <row r="1148" spans="2:14" x14ac:dyDescent="0.2">
      <c r="C1148" t="s">
        <v>5</v>
      </c>
      <c r="E1148">
        <v>12</v>
      </c>
      <c r="F1148">
        <v>12</v>
      </c>
      <c r="G1148">
        <v>12</v>
      </c>
      <c r="H1148" s="19">
        <f t="shared" si="718"/>
        <v>12</v>
      </c>
      <c r="I1148">
        <v>12</v>
      </c>
      <c r="J1148" s="19">
        <f t="shared" si="718"/>
        <v>12.5</v>
      </c>
      <c r="K1148">
        <v>13</v>
      </c>
      <c r="L1148" s="19">
        <f t="shared" ref="L1148" si="727">0.5*(K1148+M1148)</f>
        <v>13</v>
      </c>
      <c r="M1148">
        <v>13</v>
      </c>
    </row>
    <row r="1149" spans="2:14" ht="15" x14ac:dyDescent="0.25">
      <c r="C1149" t="s">
        <v>411</v>
      </c>
      <c r="H1149" s="19"/>
      <c r="J1149" s="19"/>
      <c r="L1149" s="19"/>
      <c r="M1149" s="2" t="s">
        <v>412</v>
      </c>
      <c r="N1149" t="s">
        <v>418</v>
      </c>
    </row>
    <row r="1150" spans="2:14" ht="15" x14ac:dyDescent="0.25">
      <c r="C1150" t="s">
        <v>413</v>
      </c>
      <c r="H1150" s="19"/>
      <c r="J1150" s="19"/>
      <c r="L1150" s="19"/>
      <c r="M1150" s="2" t="s">
        <v>414</v>
      </c>
    </row>
    <row r="1151" spans="2:14" x14ac:dyDescent="0.2">
      <c r="C1151" t="s">
        <v>416</v>
      </c>
      <c r="H1151" s="19"/>
      <c r="J1151" s="19"/>
      <c r="L1151" s="19"/>
      <c r="M1151" s="9">
        <v>8.08</v>
      </c>
    </row>
    <row r="1152" spans="2:14" x14ac:dyDescent="0.2">
      <c r="C1152" t="s">
        <v>415</v>
      </c>
      <c r="H1152" s="19"/>
      <c r="J1152" s="19"/>
      <c r="L1152" s="19"/>
      <c r="M1152" s="53">
        <v>5</v>
      </c>
    </row>
    <row r="1153" spans="3:13" x14ac:dyDescent="0.2">
      <c r="C1153" t="s">
        <v>417</v>
      </c>
      <c r="H1153" s="19"/>
      <c r="J1153" s="19"/>
      <c r="L1153" s="19"/>
      <c r="M1153" s="53">
        <v>5</v>
      </c>
    </row>
    <row r="1154" spans="3:13" x14ac:dyDescent="0.2">
      <c r="C1154" t="s">
        <v>8</v>
      </c>
      <c r="E1154">
        <v>0.04</v>
      </c>
      <c r="F1154">
        <v>0.4</v>
      </c>
      <c r="G1154">
        <v>0.6</v>
      </c>
      <c r="H1154" s="19">
        <f t="shared" si="718"/>
        <v>1.3</v>
      </c>
      <c r="I1154">
        <v>2</v>
      </c>
      <c r="J1154" s="19">
        <f t="shared" si="718"/>
        <v>2.1</v>
      </c>
      <c r="K1154">
        <v>2.2000000000000002</v>
      </c>
      <c r="L1154" s="19">
        <f t="shared" ref="L1154" si="728">0.5*(K1154+M1154)</f>
        <v>2.25</v>
      </c>
      <c r="M1154">
        <v>2.2999999999999998</v>
      </c>
    </row>
    <row r="1155" spans="3:13" x14ac:dyDescent="0.2">
      <c r="C1155" t="s">
        <v>7</v>
      </c>
      <c r="E1155">
        <v>0.1</v>
      </c>
      <c r="F1155">
        <v>0.7</v>
      </c>
      <c r="G1155">
        <v>3.4</v>
      </c>
      <c r="H1155" s="19">
        <f t="shared" si="718"/>
        <v>9.1999999999999993</v>
      </c>
      <c r="I1155">
        <v>15</v>
      </c>
      <c r="J1155" s="19">
        <f t="shared" si="718"/>
        <v>16</v>
      </c>
      <c r="K1155">
        <v>17</v>
      </c>
      <c r="L1155" s="19">
        <f t="shared" ref="L1155" si="729">0.5*(K1155+M1155)</f>
        <v>18</v>
      </c>
      <c r="M1155">
        <v>19</v>
      </c>
    </row>
    <row r="1156" spans="3:13" x14ac:dyDescent="0.2">
      <c r="C1156" s="14" t="s">
        <v>47</v>
      </c>
      <c r="D1156" s="14"/>
      <c r="E1156" s="14">
        <v>0</v>
      </c>
      <c r="F1156" s="14">
        <v>0</v>
      </c>
      <c r="G1156" s="14">
        <v>0.01</v>
      </c>
      <c r="H1156" s="19">
        <f t="shared" si="718"/>
        <v>1.4999999999999999E-2</v>
      </c>
      <c r="I1156" s="14">
        <v>0.02</v>
      </c>
      <c r="J1156" s="19">
        <f t="shared" si="718"/>
        <v>0.11</v>
      </c>
      <c r="K1156" s="14">
        <v>0.2</v>
      </c>
      <c r="L1156" s="19">
        <f t="shared" ref="L1156" si="730">0.5*(K1156+M1156)</f>
        <v>0.25</v>
      </c>
      <c r="M1156" s="14">
        <v>0.3</v>
      </c>
    </row>
    <row r="1157" spans="3:13" ht="15" x14ac:dyDescent="0.25">
      <c r="C1157" s="2" t="s">
        <v>6</v>
      </c>
      <c r="D1157" s="2"/>
      <c r="E1157" s="2">
        <v>1</v>
      </c>
      <c r="F1157" s="2">
        <v>1.3</v>
      </c>
      <c r="G1157" s="2">
        <v>1.6</v>
      </c>
      <c r="H1157" s="19">
        <f t="shared" ref="H1157:J1179" si="731">0.5*(G1157+I1157)</f>
        <v>1.95</v>
      </c>
      <c r="I1157" s="2">
        <v>2.2999999999999998</v>
      </c>
      <c r="J1157" s="19">
        <f t="shared" si="731"/>
        <v>2.5</v>
      </c>
      <c r="K1157" s="2">
        <v>2.7</v>
      </c>
      <c r="L1157" s="19">
        <f t="shared" ref="L1157" si="732">0.5*(K1157+M1157)</f>
        <v>2.75</v>
      </c>
      <c r="M1157" s="2">
        <v>2.8</v>
      </c>
    </row>
    <row r="1158" spans="3:13" x14ac:dyDescent="0.2">
      <c r="C1158" t="s">
        <v>330</v>
      </c>
      <c r="E1158">
        <v>0.3</v>
      </c>
      <c r="F1158">
        <v>0.3</v>
      </c>
      <c r="G1158">
        <v>0.3</v>
      </c>
      <c r="H1158" s="19">
        <f t="shared" ref="H1158:J1178" si="733">0.5*(G1158+I1158)</f>
        <v>0.3</v>
      </c>
      <c r="I1158">
        <v>0.3</v>
      </c>
      <c r="J1158" s="19">
        <f t="shared" si="733"/>
        <v>0.25</v>
      </c>
      <c r="K1158">
        <v>0.2</v>
      </c>
      <c r="L1158" s="19">
        <f t="shared" ref="L1158" si="734">0.5*(K1158+M1158)</f>
        <v>0.2</v>
      </c>
      <c r="M1158">
        <v>0.2</v>
      </c>
    </row>
    <row r="1159" spans="3:13" x14ac:dyDescent="0.2">
      <c r="C1159" t="s">
        <v>331</v>
      </c>
      <c r="E1159">
        <v>0</v>
      </c>
      <c r="F1159">
        <v>0</v>
      </c>
      <c r="G1159">
        <v>0</v>
      </c>
      <c r="H1159" s="19">
        <f t="shared" si="731"/>
        <v>0</v>
      </c>
      <c r="I1159">
        <v>0</v>
      </c>
      <c r="J1159" s="19">
        <f t="shared" si="731"/>
        <v>0</v>
      </c>
      <c r="K1159">
        <v>0</v>
      </c>
      <c r="L1159" s="19">
        <f t="shared" ref="L1159" si="735">0.5*(K1159+M1159)</f>
        <v>0</v>
      </c>
      <c r="M1159">
        <v>0</v>
      </c>
    </row>
    <row r="1160" spans="3:13" x14ac:dyDescent="0.2">
      <c r="C1160" t="s">
        <v>362</v>
      </c>
      <c r="E1160">
        <v>0.3</v>
      </c>
      <c r="F1160">
        <v>0.4</v>
      </c>
      <c r="G1160">
        <v>0.5</v>
      </c>
      <c r="H1160" s="19">
        <f t="shared" si="733"/>
        <v>0.5</v>
      </c>
      <c r="I1160">
        <v>0.5</v>
      </c>
      <c r="J1160" s="19">
        <f t="shared" si="733"/>
        <v>0.4</v>
      </c>
      <c r="K1160">
        <v>0.3</v>
      </c>
      <c r="L1160" s="19">
        <f t="shared" ref="L1160" si="736">0.5*(K1160+M1160)</f>
        <v>0.2</v>
      </c>
      <c r="M1160">
        <v>0.1</v>
      </c>
    </row>
    <row r="1161" spans="3:13" x14ac:dyDescent="0.2">
      <c r="C1161" t="s">
        <v>333</v>
      </c>
      <c r="E1161">
        <v>0.02</v>
      </c>
      <c r="F1161">
        <v>0.02</v>
      </c>
      <c r="G1161">
        <v>0.02</v>
      </c>
      <c r="H1161" s="19">
        <f t="shared" si="731"/>
        <v>1.4999999999999999E-2</v>
      </c>
      <c r="I1161">
        <v>0.01</v>
      </c>
      <c r="J1161" s="19">
        <f t="shared" si="731"/>
        <v>5.0000000000000001E-3</v>
      </c>
      <c r="K1161">
        <v>0</v>
      </c>
      <c r="L1161" s="19">
        <f t="shared" ref="L1161" si="737">0.5*(K1161+M1161)</f>
        <v>0</v>
      </c>
      <c r="M1161">
        <v>0</v>
      </c>
    </row>
    <row r="1162" spans="3:13" x14ac:dyDescent="0.2">
      <c r="C1162" t="s">
        <v>101</v>
      </c>
      <c r="E1162">
        <v>0.3</v>
      </c>
      <c r="F1162">
        <v>0.5</v>
      </c>
      <c r="G1162">
        <v>0.8</v>
      </c>
      <c r="H1162" s="19">
        <f t="shared" si="733"/>
        <v>1.1000000000000001</v>
      </c>
      <c r="I1162">
        <v>1.4</v>
      </c>
      <c r="J1162" s="19">
        <f t="shared" si="733"/>
        <v>1.5499999999999998</v>
      </c>
      <c r="K1162">
        <v>1.7</v>
      </c>
      <c r="L1162" s="19">
        <f t="shared" ref="L1162" si="738">0.5*(K1162+M1162)</f>
        <v>1.85</v>
      </c>
      <c r="M1162">
        <v>2</v>
      </c>
    </row>
    <row r="1163" spans="3:13" x14ac:dyDescent="0.2">
      <c r="C1163" t="s">
        <v>47</v>
      </c>
      <c r="E1163">
        <v>0</v>
      </c>
      <c r="F1163">
        <v>0.02</v>
      </c>
      <c r="G1163">
        <v>0.03</v>
      </c>
      <c r="H1163" s="19">
        <f t="shared" si="731"/>
        <v>6.5000000000000002E-2</v>
      </c>
      <c r="I1163">
        <v>0.1</v>
      </c>
      <c r="J1163" s="19">
        <f t="shared" si="731"/>
        <v>0.2</v>
      </c>
      <c r="K1163">
        <v>0.3</v>
      </c>
      <c r="L1163" s="19">
        <f t="shared" ref="L1163" si="739">0.5*(K1163+M1163)</f>
        <v>0.4</v>
      </c>
      <c r="M1163">
        <v>0.5</v>
      </c>
    </row>
    <row r="1164" spans="3:13" x14ac:dyDescent="0.2">
      <c r="C1164" s="14" t="s">
        <v>336</v>
      </c>
      <c r="D1164" s="14"/>
      <c r="E1164" s="14">
        <v>0</v>
      </c>
      <c r="F1164" s="14">
        <v>0</v>
      </c>
      <c r="G1164" s="14">
        <v>0</v>
      </c>
      <c r="H1164" s="19">
        <f t="shared" si="733"/>
        <v>2.5000000000000001E-2</v>
      </c>
      <c r="I1164" s="14">
        <v>0.05</v>
      </c>
      <c r="J1164" s="19">
        <f t="shared" si="733"/>
        <v>8.4999999999999992E-2</v>
      </c>
      <c r="K1164" s="14">
        <v>0.12</v>
      </c>
      <c r="L1164" s="19">
        <f t="shared" ref="L1164" si="740">0.5*(K1164+M1164)</f>
        <v>0.13500000000000001</v>
      </c>
      <c r="M1164" s="14">
        <v>0.15</v>
      </c>
    </row>
    <row r="1165" spans="3:13" ht="15" x14ac:dyDescent="0.25">
      <c r="C1165" s="2" t="s">
        <v>337</v>
      </c>
      <c r="D1165" s="2"/>
      <c r="E1165" s="2">
        <v>17</v>
      </c>
      <c r="F1165" s="2">
        <v>18</v>
      </c>
      <c r="G1165" s="2">
        <v>20</v>
      </c>
      <c r="H1165" s="19">
        <f t="shared" si="731"/>
        <v>26</v>
      </c>
      <c r="I1165" s="2">
        <v>32</v>
      </c>
      <c r="J1165" s="19">
        <f t="shared" si="731"/>
        <v>33.5</v>
      </c>
      <c r="K1165" s="2">
        <v>35</v>
      </c>
      <c r="L1165" s="19">
        <f t="shared" ref="L1165" si="741">0.5*(K1165+M1165)</f>
        <v>36.5</v>
      </c>
      <c r="M1165" s="2">
        <v>38</v>
      </c>
    </row>
    <row r="1166" spans="3:13" x14ac:dyDescent="0.2">
      <c r="C1166" t="s">
        <v>338</v>
      </c>
      <c r="E1166">
        <v>0.6</v>
      </c>
      <c r="F1166">
        <v>0.7</v>
      </c>
      <c r="G1166">
        <v>0.8</v>
      </c>
      <c r="H1166" s="19">
        <f t="shared" si="733"/>
        <v>0.75</v>
      </c>
      <c r="I1166">
        <v>0.7</v>
      </c>
      <c r="J1166" s="19">
        <f t="shared" si="733"/>
        <v>0.6</v>
      </c>
      <c r="K1166">
        <v>0.5</v>
      </c>
      <c r="L1166" s="19">
        <f t="shared" ref="L1166" si="742">0.5*(K1166+M1166)</f>
        <v>0.35</v>
      </c>
      <c r="M1166">
        <v>0.2</v>
      </c>
    </row>
    <row r="1167" spans="3:13" x14ac:dyDescent="0.2">
      <c r="C1167" t="s">
        <v>358</v>
      </c>
      <c r="E1167">
        <v>0.3</v>
      </c>
      <c r="F1167">
        <v>0.3</v>
      </c>
      <c r="G1167">
        <v>0.3</v>
      </c>
      <c r="H1167" s="19">
        <f t="shared" si="731"/>
        <v>0.3</v>
      </c>
      <c r="I1167">
        <v>0.3</v>
      </c>
      <c r="J1167" s="19">
        <f t="shared" si="731"/>
        <v>0.25</v>
      </c>
      <c r="K1167">
        <v>0.2</v>
      </c>
      <c r="L1167" s="19">
        <f t="shared" ref="L1167" si="743">0.5*(K1167+M1167)</f>
        <v>0.1</v>
      </c>
      <c r="M1167">
        <v>0</v>
      </c>
    </row>
    <row r="1168" spans="3:13" x14ac:dyDescent="0.2">
      <c r="C1168" t="s">
        <v>359</v>
      </c>
      <c r="E1168">
        <v>0</v>
      </c>
      <c r="F1168">
        <v>0</v>
      </c>
      <c r="G1168">
        <v>0</v>
      </c>
      <c r="H1168" s="19">
        <f t="shared" si="733"/>
        <v>0</v>
      </c>
      <c r="I1168">
        <v>0</v>
      </c>
      <c r="J1168" s="19">
        <f t="shared" si="733"/>
        <v>0</v>
      </c>
      <c r="K1168">
        <v>0</v>
      </c>
      <c r="L1168" s="19">
        <f t="shared" ref="L1168" si="744">0.5*(K1168+M1168)</f>
        <v>0</v>
      </c>
      <c r="M1168">
        <v>0</v>
      </c>
    </row>
    <row r="1169" spans="3:14" x14ac:dyDescent="0.2">
      <c r="C1169" t="s">
        <v>364</v>
      </c>
      <c r="E1169">
        <v>0.3</v>
      </c>
      <c r="F1169">
        <v>0.4</v>
      </c>
      <c r="G1169">
        <v>0.5</v>
      </c>
      <c r="H1169" s="19">
        <f t="shared" si="731"/>
        <v>0.5</v>
      </c>
      <c r="I1169">
        <v>0.5</v>
      </c>
      <c r="J1169" s="19">
        <f t="shared" si="731"/>
        <v>0.35</v>
      </c>
      <c r="K1169">
        <v>0.2</v>
      </c>
      <c r="L1169" s="19">
        <f t="shared" ref="L1169" si="745">0.5*(K1169+M1169)</f>
        <v>0.12000000000000001</v>
      </c>
      <c r="M1169">
        <v>0.04</v>
      </c>
    </row>
    <row r="1170" spans="3:14" x14ac:dyDescent="0.2">
      <c r="C1170" t="s">
        <v>360</v>
      </c>
      <c r="E1170">
        <v>0.02</v>
      </c>
      <c r="F1170">
        <v>0.02</v>
      </c>
      <c r="G1170">
        <v>0.02</v>
      </c>
      <c r="H1170" s="19">
        <f t="shared" si="733"/>
        <v>1.4999999999999999E-2</v>
      </c>
      <c r="I1170">
        <v>0.01</v>
      </c>
      <c r="J1170" s="19">
        <f t="shared" si="733"/>
        <v>5.0000000000000001E-3</v>
      </c>
      <c r="K1170">
        <v>0</v>
      </c>
      <c r="L1170" s="19">
        <f t="shared" ref="L1170" si="746">0.5*(K1170+M1170)</f>
        <v>0</v>
      </c>
      <c r="M1170">
        <v>0</v>
      </c>
    </row>
    <row r="1171" spans="3:14" x14ac:dyDescent="0.2">
      <c r="C1171" t="s">
        <v>361</v>
      </c>
      <c r="E1171">
        <v>0</v>
      </c>
      <c r="F1171">
        <v>0</v>
      </c>
      <c r="G1171">
        <v>0</v>
      </c>
      <c r="H1171" s="19">
        <f t="shared" si="731"/>
        <v>0</v>
      </c>
      <c r="I1171">
        <v>0</v>
      </c>
      <c r="J1171" s="19">
        <f t="shared" si="731"/>
        <v>0</v>
      </c>
      <c r="K1171">
        <v>0</v>
      </c>
      <c r="L1171" s="19">
        <f t="shared" ref="L1171" si="747">0.5*(K1171+M1171)</f>
        <v>0</v>
      </c>
      <c r="M1171">
        <v>0</v>
      </c>
    </row>
    <row r="1172" spans="3:14" x14ac:dyDescent="0.2">
      <c r="C1172" t="s">
        <v>335</v>
      </c>
      <c r="E1172">
        <v>3.3</v>
      </c>
      <c r="F1172">
        <v>3</v>
      </c>
      <c r="G1172">
        <v>2.2000000000000002</v>
      </c>
      <c r="H1172" s="19">
        <f t="shared" si="733"/>
        <v>1.1000000000000001</v>
      </c>
      <c r="I1172">
        <v>0</v>
      </c>
      <c r="J1172" s="19">
        <f t="shared" si="733"/>
        <v>0</v>
      </c>
      <c r="K1172">
        <v>0</v>
      </c>
      <c r="L1172" s="19">
        <f t="shared" ref="L1172" si="748">0.5*(K1172+M1172)</f>
        <v>0</v>
      </c>
      <c r="M1172">
        <v>0</v>
      </c>
    </row>
    <row r="1173" spans="3:14" x14ac:dyDescent="0.2">
      <c r="C1173" t="s">
        <v>336</v>
      </c>
      <c r="E1173">
        <v>0</v>
      </c>
      <c r="F1173">
        <v>0</v>
      </c>
      <c r="G1173">
        <v>0</v>
      </c>
      <c r="H1173" s="19">
        <f t="shared" si="731"/>
        <v>2.5000000000000001E-2</v>
      </c>
      <c r="I1173">
        <v>0.05</v>
      </c>
      <c r="J1173" s="19">
        <f t="shared" si="731"/>
        <v>8.4999999999999992E-2</v>
      </c>
      <c r="K1173">
        <v>0.12</v>
      </c>
      <c r="L1173" s="19">
        <f t="shared" ref="L1173" si="749">0.5*(K1173+M1173)</f>
        <v>0.13500000000000001</v>
      </c>
      <c r="M1173">
        <v>0.15</v>
      </c>
    </row>
    <row r="1174" spans="3:14" ht="15" x14ac:dyDescent="0.25">
      <c r="C1174" s="2" t="s">
        <v>339</v>
      </c>
      <c r="D1174" s="2"/>
      <c r="E1174" s="2">
        <v>13</v>
      </c>
      <c r="F1174" s="2">
        <v>14</v>
      </c>
      <c r="G1174" s="2">
        <v>17</v>
      </c>
      <c r="H1174" s="19">
        <f t="shared" si="733"/>
        <v>24</v>
      </c>
      <c r="I1174" s="2">
        <v>31</v>
      </c>
      <c r="J1174" s="19">
        <f t="shared" si="733"/>
        <v>32.5</v>
      </c>
      <c r="K1174" s="2">
        <v>34</v>
      </c>
      <c r="L1174" s="19">
        <f t="shared" ref="L1174" si="750">0.5*(K1174+M1174)</f>
        <v>35.5</v>
      </c>
      <c r="M1174" s="2">
        <v>37</v>
      </c>
    </row>
    <row r="1175" spans="3:14" x14ac:dyDescent="0.2">
      <c r="C1175" t="s">
        <v>350</v>
      </c>
      <c r="E1175">
        <v>12</v>
      </c>
      <c r="F1175">
        <v>12</v>
      </c>
      <c r="G1175">
        <v>12</v>
      </c>
      <c r="H1175" s="19">
        <f t="shared" si="731"/>
        <v>12</v>
      </c>
      <c r="I1175">
        <v>12</v>
      </c>
      <c r="J1175" s="19">
        <f t="shared" si="731"/>
        <v>12.5</v>
      </c>
      <c r="K1175">
        <v>13</v>
      </c>
      <c r="L1175" s="19">
        <f t="shared" ref="L1175" si="751">0.5*(K1175+M1175)</f>
        <v>13</v>
      </c>
      <c r="M1175">
        <v>13</v>
      </c>
    </row>
    <row r="1176" spans="3:14" x14ac:dyDescent="0.2">
      <c r="C1176" t="s">
        <v>351</v>
      </c>
      <c r="E1176">
        <v>0.04</v>
      </c>
      <c r="F1176">
        <v>0.4</v>
      </c>
      <c r="G1176">
        <v>0.6</v>
      </c>
      <c r="H1176" s="19">
        <f t="shared" si="733"/>
        <v>1.3</v>
      </c>
      <c r="I1176">
        <v>2</v>
      </c>
      <c r="J1176" s="19">
        <f t="shared" si="733"/>
        <v>2.1</v>
      </c>
      <c r="K1176">
        <v>2.2000000000000002</v>
      </c>
      <c r="L1176" s="19">
        <f t="shared" ref="L1176" si="752">0.5*(K1176+M1176)</f>
        <v>2.25</v>
      </c>
      <c r="M1176">
        <v>2.2999999999999998</v>
      </c>
    </row>
    <row r="1177" spans="3:14" x14ac:dyDescent="0.2">
      <c r="C1177" t="s">
        <v>352</v>
      </c>
      <c r="E1177">
        <v>0.1</v>
      </c>
      <c r="F1177">
        <v>0.7</v>
      </c>
      <c r="G1177">
        <v>3.4</v>
      </c>
      <c r="H1177" s="19">
        <f t="shared" si="731"/>
        <v>9.1999999999999993</v>
      </c>
      <c r="I1177">
        <v>15</v>
      </c>
      <c r="J1177" s="19">
        <f t="shared" si="731"/>
        <v>16</v>
      </c>
      <c r="K1177">
        <v>17</v>
      </c>
      <c r="L1177" s="19">
        <f t="shared" ref="L1177" si="753">0.5*(K1177+M1177)</f>
        <v>18</v>
      </c>
      <c r="M1177">
        <v>19</v>
      </c>
    </row>
    <row r="1178" spans="3:14" x14ac:dyDescent="0.2">
      <c r="C1178" t="s">
        <v>354</v>
      </c>
      <c r="E1178">
        <v>0.4</v>
      </c>
      <c r="F1178">
        <v>0.5</v>
      </c>
      <c r="G1178">
        <v>0.8</v>
      </c>
      <c r="H1178" s="19">
        <f t="shared" si="733"/>
        <v>1.1000000000000001</v>
      </c>
      <c r="I1178">
        <v>1.4</v>
      </c>
      <c r="J1178" s="19">
        <f t="shared" si="733"/>
        <v>1.6</v>
      </c>
      <c r="K1178">
        <v>1.8</v>
      </c>
      <c r="L1178" s="19">
        <f t="shared" ref="L1178" si="754">0.5*(K1178+M1178)</f>
        <v>2</v>
      </c>
      <c r="M1178">
        <v>2.2000000000000002</v>
      </c>
    </row>
    <row r="1179" spans="3:14" x14ac:dyDescent="0.2">
      <c r="C1179" s="14" t="s">
        <v>355</v>
      </c>
      <c r="D1179" s="14"/>
      <c r="E1179" s="14">
        <v>0</v>
      </c>
      <c r="F1179" s="14">
        <v>0.02</v>
      </c>
      <c r="G1179" s="14">
        <v>0.03</v>
      </c>
      <c r="H1179" s="19">
        <f t="shared" si="731"/>
        <v>6.5000000000000002E-2</v>
      </c>
      <c r="I1179" s="14">
        <v>0.1</v>
      </c>
      <c r="J1179" s="19">
        <f t="shared" si="731"/>
        <v>0.3</v>
      </c>
      <c r="K1179" s="14">
        <v>0.5</v>
      </c>
      <c r="L1179" s="19">
        <f t="shared" ref="L1179" si="755">0.5*(K1179+M1179)</f>
        <v>0.6</v>
      </c>
      <c r="M1179" s="14">
        <v>0.7</v>
      </c>
    </row>
    <row r="1180" spans="3:14" x14ac:dyDescent="0.2">
      <c r="C1180" t="s">
        <v>357</v>
      </c>
      <c r="E1180">
        <v>0</v>
      </c>
      <c r="F1180">
        <v>1</v>
      </c>
      <c r="G1180">
        <v>4</v>
      </c>
      <c r="I1180">
        <v>17</v>
      </c>
      <c r="K1180">
        <v>19</v>
      </c>
      <c r="M1180">
        <v>22</v>
      </c>
    </row>
    <row r="1181" spans="3:14" x14ac:dyDescent="0.2">
      <c r="C1181" t="s">
        <v>342</v>
      </c>
      <c r="E1181" s="43">
        <v>8.0000000000000002E-3</v>
      </c>
      <c r="F1181" s="43">
        <v>0.06</v>
      </c>
      <c r="G1181" s="43">
        <v>0.2</v>
      </c>
      <c r="H1181" s="43"/>
      <c r="I1181" s="43">
        <v>0.53800000000000003</v>
      </c>
      <c r="J1181" s="43"/>
      <c r="K1181" s="43">
        <v>0.55500000000000005</v>
      </c>
      <c r="L1181" s="43"/>
      <c r="M1181" s="43">
        <v>0.57599999999999996</v>
      </c>
    </row>
    <row r="1182" spans="3:14" ht="15" x14ac:dyDescent="0.25">
      <c r="C1182" s="2" t="s">
        <v>343</v>
      </c>
      <c r="D1182" s="2"/>
      <c r="E1182" s="49">
        <v>0.76600000000000001</v>
      </c>
      <c r="F1182" s="49">
        <v>0.79</v>
      </c>
      <c r="G1182" s="49">
        <v>0.85199999999999998</v>
      </c>
      <c r="H1182" s="49"/>
      <c r="I1182" s="49">
        <v>0.97499999999999998</v>
      </c>
      <c r="J1182" s="49"/>
      <c r="K1182" s="49">
        <v>0.98199999999999998</v>
      </c>
      <c r="L1182" s="49"/>
      <c r="M1182" s="49">
        <v>0.98899999999999999</v>
      </c>
    </row>
    <row r="1183" spans="3:14" ht="15" x14ac:dyDescent="0.25">
      <c r="C1183" s="9" t="s">
        <v>424</v>
      </c>
      <c r="D1183" s="2"/>
      <c r="E1183" s="49"/>
      <c r="F1183" s="49"/>
      <c r="G1183" s="49"/>
      <c r="H1183" s="49"/>
      <c r="I1183" s="49"/>
      <c r="J1183" s="49"/>
      <c r="K1183" s="49"/>
      <c r="L1183" s="49"/>
      <c r="M1183" s="54">
        <v>2.5</v>
      </c>
      <c r="N1183" t="s">
        <v>423</v>
      </c>
    </row>
    <row r="1184" spans="3:14" ht="15" x14ac:dyDescent="0.25">
      <c r="C1184" s="9"/>
      <c r="D1184" s="2"/>
      <c r="E1184" s="49"/>
      <c r="F1184" s="49"/>
      <c r="G1184" s="49"/>
      <c r="H1184" s="49"/>
      <c r="I1184" s="49"/>
      <c r="J1184" s="49"/>
      <c r="K1184" s="49"/>
      <c r="L1184" s="49"/>
      <c r="M1184" s="54"/>
    </row>
    <row r="1186" spans="2:13" ht="15" x14ac:dyDescent="0.25">
      <c r="B1186" s="2" t="s">
        <v>437</v>
      </c>
      <c r="E1186" s="47">
        <v>1.2</v>
      </c>
      <c r="F1186" s="20" t="s">
        <v>409</v>
      </c>
    </row>
    <row r="1187" spans="2:13" ht="15" x14ac:dyDescent="0.25">
      <c r="C1187" s="13" t="s">
        <v>322</v>
      </c>
      <c r="E1187" s="2" t="s">
        <v>430</v>
      </c>
      <c r="F1187" s="2">
        <v>2015</v>
      </c>
      <c r="G1187" s="2">
        <v>2020</v>
      </c>
      <c r="H1187" s="2"/>
      <c r="I1187" s="2">
        <v>2030</v>
      </c>
      <c r="J1187" s="2"/>
      <c r="K1187" s="2">
        <v>2040</v>
      </c>
      <c r="M1187" s="2">
        <v>2050</v>
      </c>
    </row>
    <row r="1188" spans="2:13" x14ac:dyDescent="0.2">
      <c r="C1188" s="20" t="s">
        <v>399</v>
      </c>
      <c r="E1188" s="20">
        <f t="shared" ref="E1188:M1188" si="756">1000*E1126/E1155</f>
        <v>1000</v>
      </c>
      <c r="F1188" s="20">
        <f t="shared" si="756"/>
        <v>1000.0000000000001</v>
      </c>
      <c r="G1188" s="20">
        <f t="shared" si="756"/>
        <v>970.58823529411768</v>
      </c>
      <c r="H1188" s="20">
        <f t="shared" si="756"/>
        <v>994.56521739130437</v>
      </c>
      <c r="I1188" s="20">
        <f t="shared" si="756"/>
        <v>1000</v>
      </c>
      <c r="J1188" s="20">
        <f t="shared" si="756"/>
        <v>968.75</v>
      </c>
      <c r="K1188" s="20">
        <f t="shared" si="756"/>
        <v>941.17647058823525</v>
      </c>
      <c r="L1188" s="20">
        <f t="shared" si="756"/>
        <v>972.22222222222217</v>
      </c>
      <c r="M1188" s="20">
        <f t="shared" si="756"/>
        <v>1000</v>
      </c>
    </row>
    <row r="1189" spans="2:13" x14ac:dyDescent="0.2">
      <c r="C1189" s="20" t="s">
        <v>403</v>
      </c>
      <c r="D1189" s="45"/>
      <c r="E1189" s="45">
        <v>35</v>
      </c>
      <c r="F1189" s="45">
        <v>0.05</v>
      </c>
    </row>
    <row r="1190" spans="2:13" x14ac:dyDescent="0.2">
      <c r="C1190" t="s">
        <v>323</v>
      </c>
      <c r="E1190">
        <v>2817</v>
      </c>
      <c r="F1190">
        <v>1733</v>
      </c>
      <c r="G1190">
        <v>1246</v>
      </c>
      <c r="H1190" s="20">
        <f>0.5*(G1190+I1190)</f>
        <v>1106.5</v>
      </c>
      <c r="I1190">
        <v>967</v>
      </c>
      <c r="J1190" s="20">
        <f>0.5*(I1190+K1190)</f>
        <v>876</v>
      </c>
      <c r="K1190">
        <v>785</v>
      </c>
      <c r="L1190" s="20">
        <f>0.5*(K1190+M1190)</f>
        <v>792</v>
      </c>
      <c r="M1190">
        <v>799</v>
      </c>
    </row>
    <row r="1191" spans="2:13" x14ac:dyDescent="0.2">
      <c r="C1191" t="s">
        <v>318</v>
      </c>
      <c r="E1191">
        <v>40</v>
      </c>
      <c r="F1191">
        <v>29</v>
      </c>
      <c r="G1191">
        <v>16</v>
      </c>
      <c r="H1191" s="20">
        <f>0.5*(G1191+I1191)</f>
        <v>13.5</v>
      </c>
      <c r="I1191">
        <v>11</v>
      </c>
      <c r="J1191" s="20">
        <f>0.5*(I1191+K1191)</f>
        <v>11</v>
      </c>
      <c r="K1191">
        <v>11</v>
      </c>
      <c r="L1191" s="20">
        <f>0.5*(K1191+M1191)</f>
        <v>11</v>
      </c>
      <c r="M1191">
        <v>11</v>
      </c>
    </row>
    <row r="1192" spans="2:13" x14ac:dyDescent="0.2">
      <c r="C1192" s="20" t="s">
        <v>425</v>
      </c>
      <c r="E1192" s="37">
        <f>$E$1186/E1188*(E1191+E1190*($F1189*(1+$F1189)^$E1189/((1+$F1189)^$E1189-1)))</f>
        <v>0.2544467991231647</v>
      </c>
      <c r="F1192" s="37">
        <f t="shared" ref="F1192:M1192" si="757">$E$1186/F1188*(F1191+F1190*($F1189*(1+$F1189)^$E1189/((1+$F1189)^$E1189-1)))</f>
        <v>0.16180472235727525</v>
      </c>
      <c r="G1192" s="37">
        <f t="shared" si="757"/>
        <v>0.11386333836828079</v>
      </c>
      <c r="H1192" s="37">
        <f t="shared" si="757"/>
        <v>9.7822657740144925E-2</v>
      </c>
      <c r="I1192" s="37">
        <f t="shared" si="757"/>
        <v>8.4067609070678131E-2</v>
      </c>
      <c r="J1192" s="37">
        <f t="shared" si="757"/>
        <v>7.9895306984329617E-2</v>
      </c>
      <c r="K1192" s="37">
        <f t="shared" si="757"/>
        <v>7.5150144974676814E-2</v>
      </c>
      <c r="L1192" s="37">
        <f t="shared" si="757"/>
        <v>7.327805199654823E-2</v>
      </c>
      <c r="M1192" s="37">
        <f t="shared" si="757"/>
        <v>7.1755552892938806E-2</v>
      </c>
    </row>
    <row r="1193" spans="2:13" x14ac:dyDescent="0.2">
      <c r="C1193" s="20" t="s">
        <v>400</v>
      </c>
      <c r="E1193" s="21">
        <f>40/E1154</f>
        <v>1000</v>
      </c>
      <c r="F1193" s="21">
        <f t="shared" ref="F1193:M1193" si="758">1000*F1125/F1154</f>
        <v>1000</v>
      </c>
      <c r="G1193" s="21">
        <f t="shared" si="758"/>
        <v>1166.6666666666667</v>
      </c>
      <c r="H1193" s="21">
        <f t="shared" si="758"/>
        <v>1269.2307692307693</v>
      </c>
      <c r="I1193" s="21">
        <f t="shared" si="758"/>
        <v>1300</v>
      </c>
      <c r="J1193" s="21">
        <f t="shared" si="758"/>
        <v>1428.5714285714284</v>
      </c>
      <c r="K1193" s="21">
        <f t="shared" si="758"/>
        <v>1545.4545454545453</v>
      </c>
      <c r="L1193" s="21">
        <f t="shared" si="758"/>
        <v>1644.4444444444443</v>
      </c>
      <c r="M1193" s="21">
        <f t="shared" si="758"/>
        <v>1739.1304347826087</v>
      </c>
    </row>
    <row r="1194" spans="2:13" x14ac:dyDescent="0.2">
      <c r="C1194" s="20" t="s">
        <v>404</v>
      </c>
      <c r="D1194" s="45"/>
      <c r="E1194" s="45">
        <v>35</v>
      </c>
      <c r="F1194" s="45">
        <v>0.05</v>
      </c>
    </row>
    <row r="1195" spans="2:13" x14ac:dyDescent="0.2">
      <c r="C1195" t="s">
        <v>324</v>
      </c>
      <c r="E1195">
        <v>1422</v>
      </c>
      <c r="F1195">
        <v>1125</v>
      </c>
      <c r="G1195">
        <v>975</v>
      </c>
      <c r="H1195" s="20">
        <f>0.5*(G1195+I1195)</f>
        <v>971</v>
      </c>
      <c r="I1195">
        <v>967</v>
      </c>
      <c r="J1195" s="20">
        <f>0.5*(I1195+K1195)</f>
        <v>819.5</v>
      </c>
      <c r="K1195">
        <v>672</v>
      </c>
      <c r="L1195" s="20">
        <f>0.5*(K1195+M1195)</f>
        <v>844</v>
      </c>
      <c r="M1195">
        <v>1016</v>
      </c>
    </row>
    <row r="1196" spans="2:13" x14ac:dyDescent="0.2">
      <c r="C1196" t="s">
        <v>316</v>
      </c>
      <c r="E1196">
        <v>51</v>
      </c>
      <c r="F1196">
        <v>42</v>
      </c>
      <c r="G1196">
        <v>41</v>
      </c>
      <c r="H1196" s="20">
        <f>0.5*(G1196+I1196)</f>
        <v>41.5</v>
      </c>
      <c r="I1196">
        <v>42</v>
      </c>
      <c r="J1196" s="20">
        <f>0.5*(I1196+K1196)</f>
        <v>43</v>
      </c>
      <c r="K1196">
        <v>44</v>
      </c>
      <c r="L1196" s="20">
        <f>0.5*(K1196+M1196)</f>
        <v>45</v>
      </c>
      <c r="M1196">
        <v>46</v>
      </c>
    </row>
    <row r="1197" spans="2:13" x14ac:dyDescent="0.2">
      <c r="C1197" s="20" t="s">
        <v>426</v>
      </c>
      <c r="E1197" s="37">
        <f>$E$1186/E1193*(E1196+E1195*($F1194*(1+$F1194)^$E1194/((1+$F1194)^$E1194-1)))</f>
        <v>0.16541276121872212</v>
      </c>
      <c r="F1197" s="37">
        <f t="shared" ref="F1197" si="759">$E$1186/F1193*(F1196+F1195*($F1194*(1+$F1194)^$E1194/((1+$F1194)^$E1194-1)))</f>
        <v>0.13284680476164726</v>
      </c>
      <c r="G1197" s="37">
        <f t="shared" ref="G1197" si="760">$E$1186/G1193*(G1196+G1195*($F1194*(1+$F1194)^$E1194/((1+$F1194)^$E1194-1)))</f>
        <v>0.10341762639436651</v>
      </c>
      <c r="H1197" s="37">
        <f t="shared" ref="H1197" si="761">$E$1186/H1193*(H1196+H1195*($F1194*(1+$F1194)^$E1194/((1+$F1194)^$E1194-1)))</f>
        <v>9.5302411663637593E-2</v>
      </c>
      <c r="I1197" s="37">
        <f t="shared" ref="I1197" si="762">$E$1186/I1193*(I1196+I1195*($F1194*(1+$F1194)^$E1194/((1+$F1194)^$E1194-1)))</f>
        <v>9.3282776208213958E-2</v>
      </c>
      <c r="J1197" s="37">
        <f t="shared" ref="J1197" si="763">$E$1186/J1193*(J1196+J1195*($F1194*(1+$F1194)^$E1194/((1+$F1194)^$E1194-1)))</f>
        <v>7.8160541823572405E-2</v>
      </c>
      <c r="K1197" s="37">
        <f t="shared" ref="K1197" si="764">$E$1186/K1193*(K1196+K1195*($F1194*(1+$F1194)^$E1194/((1+$F1194)^$E1194-1)))</f>
        <v>6.6031204224737072E-2</v>
      </c>
      <c r="L1197" s="37">
        <f t="shared" ref="L1197" si="765">$E$1186/L1193*(L1196+L1195*($F1194*(1+$F1194)^$E1194/((1+$F1194)^$E1194-1)))</f>
        <v>7.0451407145313671E-2</v>
      </c>
      <c r="M1197" s="37">
        <f t="shared" ref="M1197" si="766">$E$1186/M1193*(M1196+M1195*($F1194*(1+$F1194)^$E1194/((1+$F1194)^$E1194-1)))</f>
        <v>7.4553709637114954E-2</v>
      </c>
    </row>
    <row r="1198" spans="2:13" x14ac:dyDescent="0.2">
      <c r="C1198" s="20" t="s">
        <v>401</v>
      </c>
      <c r="E1198" s="24">
        <f t="shared" ref="E1198:M1198" si="767">1000*E1127/E1178</f>
        <v>3250</v>
      </c>
      <c r="F1198" s="24">
        <f t="shared" si="767"/>
        <v>3800</v>
      </c>
      <c r="G1198" s="24">
        <f t="shared" si="767"/>
        <v>3625</v>
      </c>
      <c r="H1198" s="24">
        <f t="shared" si="767"/>
        <v>3454.545454545454</v>
      </c>
      <c r="I1198" s="24">
        <f t="shared" si="767"/>
        <v>3357.1428571428573</v>
      </c>
      <c r="J1198" s="24">
        <f t="shared" si="767"/>
        <v>3156.2500000000005</v>
      </c>
      <c r="K1198" s="24">
        <f t="shared" si="767"/>
        <v>3000</v>
      </c>
      <c r="L1198" s="24">
        <f t="shared" si="767"/>
        <v>2950</v>
      </c>
      <c r="M1198" s="24">
        <f t="shared" si="767"/>
        <v>2909.090909090909</v>
      </c>
    </row>
    <row r="1199" spans="2:13" x14ac:dyDescent="0.2">
      <c r="C1199" s="20" t="s">
        <v>405</v>
      </c>
      <c r="D1199" s="46"/>
      <c r="E1199" s="46">
        <v>35</v>
      </c>
      <c r="F1199" s="46">
        <v>0.05</v>
      </c>
    </row>
    <row r="1200" spans="2:13" x14ac:dyDescent="0.2">
      <c r="C1200" t="s">
        <v>319</v>
      </c>
      <c r="E1200">
        <v>2635</v>
      </c>
      <c r="F1200">
        <v>2329</v>
      </c>
      <c r="G1200">
        <v>2199</v>
      </c>
      <c r="H1200" s="20">
        <f>0.5*(G1200+I1200)</f>
        <v>2161.5</v>
      </c>
      <c r="I1200">
        <v>2124</v>
      </c>
      <c r="J1200" s="20">
        <f>0.5*(I1200+K1200)</f>
        <v>2080.5</v>
      </c>
      <c r="K1200">
        <v>2037</v>
      </c>
      <c r="L1200" s="20">
        <f>0.5*(K1200+M1200)</f>
        <v>2015.5</v>
      </c>
      <c r="M1200">
        <v>1994</v>
      </c>
    </row>
    <row r="1201" spans="2:14" x14ac:dyDescent="0.2">
      <c r="C1201" t="s">
        <v>317</v>
      </c>
      <c r="E1201">
        <v>160</v>
      </c>
      <c r="F1201">
        <v>140</v>
      </c>
      <c r="G1201">
        <v>132</v>
      </c>
      <c r="H1201" s="20">
        <f>0.5*(G1201+I1201)</f>
        <v>129.5</v>
      </c>
      <c r="I1201">
        <v>127</v>
      </c>
      <c r="J1201" s="20">
        <f>0.5*(I1201+K1201)</f>
        <v>125</v>
      </c>
      <c r="K1201">
        <v>123</v>
      </c>
      <c r="L1201" s="20">
        <f>0.5*(K1201+M1201)</f>
        <v>121.5</v>
      </c>
      <c r="M1201">
        <v>120</v>
      </c>
    </row>
    <row r="1202" spans="2:14" x14ac:dyDescent="0.2">
      <c r="C1202" s="20" t="s">
        <v>428</v>
      </c>
      <c r="E1202" s="37">
        <f>$E$1186/E1198*(E1201+E1200*($F1199*(1+$F1199)^$E1199/((1+$F1199)^$E1199-1)))</f>
        <v>0.1184949963889068</v>
      </c>
      <c r="F1202" s="37">
        <f t="shared" ref="F1202" si="768">$E$1186/F1198*(F1201+F1200*($F1199*(1+$F1199)^$E1199/((1+$F1199)^$E1199-1)))</f>
        <v>8.9127159833889233E-2</v>
      </c>
      <c r="G1202" s="37">
        <f t="shared" ref="G1202" si="769">$E$1186/G1198*(G1201+G1200*($F1199*(1+$F1199)^$E1199/((1+$F1199)^$E1199-1)))</f>
        <v>8.8153385114694213E-2</v>
      </c>
      <c r="H1202" s="37">
        <f t="shared" ref="H1202" si="770">$E$1186/H1198*(H1201+H1200*($F1199*(1+$F1199)^$E1199/((1+$F1199)^$E1199-1)))</f>
        <v>9.0839098325504269E-2</v>
      </c>
      <c r="I1202" s="37">
        <f t="shared" ref="I1202" si="771">$E$1186/I1198*(I1201+I1200*($F1199*(1+$F1199)^$E1199/((1+$F1199)^$E1199-1)))</f>
        <v>9.1762424328933168E-2</v>
      </c>
      <c r="J1202" s="37">
        <f t="shared" ref="J1202" si="772">$E$1186/J1198*(J1201+J1200*($F1199*(1+$F1199)^$E1199/((1+$F1199)^$E1199-1)))</f>
        <v>9.5832593828923451E-2</v>
      </c>
      <c r="K1202" s="37">
        <f t="shared" ref="K1202" si="773">$E$1186/K1198*(K1201+K1200*($F1199*(1+$F1199)^$E1199/((1+$F1199)^$E1199-1)))</f>
        <v>9.8961227051696424E-2</v>
      </c>
      <c r="L1202" s="37">
        <f t="shared" ref="L1202" si="774">$E$1186/L1198*(L1201+L1200*($F1199*(1+$F1199)^$E1199/((1+$F1199)^$E1199-1)))</f>
        <v>9.9494247833401148E-2</v>
      </c>
      <c r="M1202" s="37">
        <f t="shared" ref="M1202" si="775">$E$1186/M1198*(M1201+M1200*($F1199*(1+$F1199)^$E1199/((1+$F1199)^$E1199-1)))</f>
        <v>9.9733005990054746E-2</v>
      </c>
    </row>
    <row r="1203" spans="2:14" x14ac:dyDescent="0.2">
      <c r="C1203" s="20" t="s">
        <v>402</v>
      </c>
      <c r="E1203" s="24">
        <f t="shared" ref="E1203:M1203" si="776">1000*E1111/E1162</f>
        <v>4000</v>
      </c>
      <c r="F1203" s="24">
        <f t="shared" si="776"/>
        <v>3600</v>
      </c>
      <c r="G1203" s="24">
        <f t="shared" si="776"/>
        <v>3500</v>
      </c>
      <c r="H1203" s="24">
        <f t="shared" si="776"/>
        <v>3318.181818181818</v>
      </c>
      <c r="I1203" s="24">
        <f t="shared" si="776"/>
        <v>3214.2857142857147</v>
      </c>
      <c r="J1203" s="24">
        <f t="shared" si="776"/>
        <v>3096.7741935483873</v>
      </c>
      <c r="K1203" s="24">
        <f t="shared" si="776"/>
        <v>3000</v>
      </c>
      <c r="L1203" s="24">
        <f t="shared" si="776"/>
        <v>2837.8378378378379</v>
      </c>
      <c r="M1203" s="24">
        <f t="shared" si="776"/>
        <v>2700</v>
      </c>
    </row>
    <row r="1204" spans="2:14" x14ac:dyDescent="0.2">
      <c r="C1204" s="20" t="s">
        <v>406</v>
      </c>
      <c r="D1204" s="46"/>
      <c r="E1204" s="46">
        <v>35</v>
      </c>
      <c r="F1204" s="46">
        <v>0.05</v>
      </c>
    </row>
    <row r="1205" spans="2:14" x14ac:dyDescent="0.2">
      <c r="C1205" t="s">
        <v>320</v>
      </c>
      <c r="E1205">
        <v>4500</v>
      </c>
      <c r="F1205">
        <v>3815</v>
      </c>
      <c r="G1205">
        <v>3337</v>
      </c>
      <c r="H1205" s="20">
        <f>0.5*(G1205+I1205)</f>
        <v>3125.5</v>
      </c>
      <c r="I1205">
        <v>2914</v>
      </c>
      <c r="J1205" s="20">
        <f>0.5*(I1205+K1205)</f>
        <v>2800</v>
      </c>
      <c r="K1205">
        <v>2686</v>
      </c>
      <c r="L1205" s="20">
        <f>0.5*(K1205+M1205)</f>
        <v>2618.5</v>
      </c>
      <c r="M1205">
        <v>2551</v>
      </c>
    </row>
    <row r="1206" spans="2:14" ht="15" x14ac:dyDescent="0.25">
      <c r="C1206" t="s">
        <v>321</v>
      </c>
      <c r="E1206">
        <v>315</v>
      </c>
      <c r="F1206">
        <v>268</v>
      </c>
      <c r="G1206">
        <v>234</v>
      </c>
      <c r="H1206" s="20">
        <f>0.5*(G1206+I1206)</f>
        <v>219</v>
      </c>
      <c r="I1206">
        <v>204</v>
      </c>
      <c r="J1206" s="20">
        <f>0.5*(I1206+K1206)</f>
        <v>196.5</v>
      </c>
      <c r="K1206">
        <v>189</v>
      </c>
      <c r="L1206" s="20">
        <f>0.5*(K1206+M1206)</f>
        <v>184</v>
      </c>
      <c r="M1206">
        <v>179</v>
      </c>
    </row>
    <row r="1207" spans="2:14" x14ac:dyDescent="0.2">
      <c r="C1207" s="20" t="s">
        <v>429</v>
      </c>
      <c r="E1207" s="37">
        <f>$E$1186/E1203*(E1206+E1205*($F1204*(1+$F1204)^$E1204/((1+$F1204)^$E1204-1)))</f>
        <v>0.17694680476164726</v>
      </c>
      <c r="F1207" s="37">
        <f t="shared" ref="F1207" si="777">$E$1186/F1203*(F1206+F1205*($F1204*(1+$F1204)^$E1204/((1+$F1204)^$E1204-1)))</f>
        <v>0.1669961876952307</v>
      </c>
      <c r="G1207" s="37">
        <f t="shared" ref="G1207" si="778">$E$1186/G1203*(G1206+G1205*($F1204*(1+$F1204)^$E1204/((1+$F1204)^$E1204-1)))</f>
        <v>0.15010158412434715</v>
      </c>
      <c r="H1207" s="37">
        <f t="shared" ref="H1207" si="779">$E$1186/H1203*(H1206+H1205*($F1204*(1+$F1204)^$E1204/((1+$F1204)^$E1204-1)))</f>
        <v>0.14823043826137752</v>
      </c>
      <c r="I1207" s="37">
        <f t="shared" ref="I1207" si="780">$E$1186/I1203*(I1206+I1205*($F1204*(1+$F1204)^$E1204/((1+$F1204)^$E1204-1)))</f>
        <v>0.14259950315172665</v>
      </c>
      <c r="J1207" s="37">
        <f t="shared" ref="J1207" si="781">$E$1186/J1203*(J1206+J1205*($F1204*(1+$F1204)^$E1204/((1+$F1204)^$E1204-1)))</f>
        <v>0.14240655234547203</v>
      </c>
      <c r="K1207" s="37">
        <f t="shared" ref="K1207" si="782">$E$1186/K1203*(K1206+K1205*($F1204*(1+$F1204)^$E1204/((1+$F1204)^$E1204-1)))</f>
        <v>0.14121544224882504</v>
      </c>
      <c r="L1207" s="37">
        <f t="shared" ref="L1207" si="783">$E$1186/L1203*(L1206+L1205*($F1204*(1+$F1204)^$E1204/((1+$F1204)^$E1204-1)))</f>
        <v>0.14542744936236879</v>
      </c>
      <c r="M1207" s="37">
        <f t="shared" ref="M1207" si="784">$E$1186/M1203*(M1206+M1205*($F1204*(1+$F1204)^$E1204/((1+$F1204)^$E1204-1)))</f>
        <v>0.14879730006484351</v>
      </c>
    </row>
    <row r="1208" spans="2:14" x14ac:dyDescent="0.2">
      <c r="C1208" s="20" t="s">
        <v>408</v>
      </c>
      <c r="E1208" s="21">
        <f>F1208</f>
        <v>5000</v>
      </c>
      <c r="F1208" s="21">
        <f t="shared" ref="F1208:M1208" si="785">1000*F1128/F1179</f>
        <v>5000</v>
      </c>
      <c r="G1208" s="21">
        <f t="shared" si="785"/>
        <v>6666.666666666667</v>
      </c>
      <c r="H1208" s="21">
        <f t="shared" si="785"/>
        <v>7692.3076923076924</v>
      </c>
      <c r="I1208" s="21">
        <f t="shared" si="785"/>
        <v>8000</v>
      </c>
      <c r="J1208" s="21">
        <f t="shared" si="785"/>
        <v>5333.3333333333339</v>
      </c>
      <c r="K1208" s="21">
        <f t="shared" si="785"/>
        <v>4800</v>
      </c>
      <c r="L1208" s="21">
        <f t="shared" si="785"/>
        <v>5166.6666666666661</v>
      </c>
      <c r="M1208" s="21">
        <f t="shared" si="785"/>
        <v>5428.5714285714294</v>
      </c>
    </row>
    <row r="1209" spans="2:14" x14ac:dyDescent="0.2">
      <c r="C1209" s="20" t="s">
        <v>407</v>
      </c>
      <c r="D1209" s="45"/>
      <c r="E1209" s="45">
        <v>35</v>
      </c>
      <c r="F1209" s="45">
        <v>0.05</v>
      </c>
    </row>
    <row r="1210" spans="2:14" x14ac:dyDescent="0.2">
      <c r="C1210" t="s">
        <v>325</v>
      </c>
      <c r="E1210">
        <v>11159</v>
      </c>
      <c r="F1210">
        <v>9318</v>
      </c>
      <c r="G1210">
        <v>7042</v>
      </c>
      <c r="H1210" s="20">
        <f>0.5*(G1210+I1210)</f>
        <v>5931.5</v>
      </c>
      <c r="I1210">
        <v>4821</v>
      </c>
      <c r="J1210" s="20">
        <f>0.5*(I1210+K1210)</f>
        <v>4414</v>
      </c>
      <c r="K1210">
        <v>4007</v>
      </c>
      <c r="L1210" s="20">
        <f>0.5*(K1210+M1210)</f>
        <v>3726.5</v>
      </c>
      <c r="M1210">
        <v>3446</v>
      </c>
    </row>
    <row r="1211" spans="2:14" ht="15" x14ac:dyDescent="0.25">
      <c r="C1211" t="s">
        <v>326</v>
      </c>
      <c r="E1211">
        <v>504</v>
      </c>
      <c r="F1211">
        <v>406</v>
      </c>
      <c r="G1211">
        <v>316</v>
      </c>
      <c r="H1211" s="20">
        <f>0.5*(G1211+I1211)</f>
        <v>278</v>
      </c>
      <c r="I1211">
        <v>240</v>
      </c>
      <c r="J1211" s="20">
        <f>0.5*(I1211+K1211)</f>
        <v>232</v>
      </c>
      <c r="K1211">
        <v>224</v>
      </c>
      <c r="L1211" s="20">
        <f>0.5*(K1211+M1211)</f>
        <v>218</v>
      </c>
      <c r="M1211">
        <v>212</v>
      </c>
    </row>
    <row r="1212" spans="2:14" x14ac:dyDescent="0.2">
      <c r="C1212" s="20" t="s">
        <v>427</v>
      </c>
      <c r="E1212" s="37">
        <f>$E$1186/E1208*(E1211+E1210*($F1209*(1+$F1209)^$E1209/((1+$F1209)^$E1209-1)))</f>
        <v>0.28451980343737271</v>
      </c>
      <c r="F1212" s="37">
        <f t="shared" ref="F1212" si="786">$E$1186/F1208*(F1211+F1210*($F1209*(1+$F1209)^$E1209/((1+$F1209)^$E1209-1)))</f>
        <v>0.23401588031449405</v>
      </c>
      <c r="G1212" s="37">
        <f t="shared" ref="G1212" si="787">$E$1186/G1208*(G1211+G1210*($F1209*(1+$F1209)^$E1209/((1+$F1209)^$E1209-1)))</f>
        <v>0.13429205321753601</v>
      </c>
      <c r="H1212" s="37">
        <f t="shared" ref="H1212" si="788">$E$1186/H1208*(H1211+H1210*($F1209*(1+$F1209)^$E1209/((1+$F1209)^$E1209-1)))</f>
        <v>9.987850570460656E-2</v>
      </c>
      <c r="I1212" s="37">
        <f t="shared" ref="I1212" si="789">$E$1186/I1208*(I1211+I1210*($F1209*(1+$F1209)^$E1209/((1+$F1209)^$E1209-1)))</f>
        <v>8.0164005083989034E-2</v>
      </c>
      <c r="J1212" s="37">
        <f t="shared" ref="J1212" si="790">$E$1186/J1208*(J1211+J1210*($F1209*(1+$F1209)^$E1209/((1+$F1209)^$E1209-1)))</f>
        <v>0.11285336603631849</v>
      </c>
      <c r="K1212" s="37">
        <f t="shared" ref="K1212" si="791">$E$1186/K1208*(K1211+K1210*($F1209*(1+$F1209)^$E1209/((1+$F1209)^$E1209-1)))</f>
        <v>0.1171785827185038</v>
      </c>
      <c r="L1212" s="37">
        <f t="shared" ref="L1212" si="792">$E$1186/L1208*(L1211+L1210*($F1209*(1+$F1209)^$E1209/((1+$F1209)^$E1209-1)))</f>
        <v>0.10349041168933824</v>
      </c>
      <c r="M1212" s="37">
        <f t="shared" ref="M1212" si="793">$E$1186/M1208*(M1211+M1210*($F1209*(1+$F1209)^$E1209/((1+$F1209)^$E1209-1)))</f>
        <v>9.3384370162817643E-2</v>
      </c>
    </row>
    <row r="1213" spans="2:14" x14ac:dyDescent="0.2">
      <c r="C1213" t="s">
        <v>5</v>
      </c>
      <c r="E1213" t="s">
        <v>370</v>
      </c>
    </row>
    <row r="1214" spans="2:14" x14ac:dyDescent="0.2">
      <c r="C1214" t="s">
        <v>439</v>
      </c>
      <c r="E1214">
        <v>7.0000000000000007E-2</v>
      </c>
      <c r="F1214">
        <v>7.2999999999999995E-2</v>
      </c>
      <c r="G1214">
        <v>0.08</v>
      </c>
      <c r="H1214">
        <v>0.1</v>
      </c>
      <c r="I1214" s="19">
        <f>2/3*H1214+1/3*K1214</f>
        <v>0.10333333333333333</v>
      </c>
      <c r="J1214" s="19">
        <f>1/3*H1214+2/3*K1214</f>
        <v>0.10666666666666666</v>
      </c>
      <c r="K1214">
        <v>0.11</v>
      </c>
      <c r="L1214" s="20">
        <f>1/2*(K1214+M1214)</f>
        <v>0.11</v>
      </c>
      <c r="M1214">
        <v>0.11</v>
      </c>
      <c r="N1214" t="s">
        <v>438</v>
      </c>
    </row>
    <row r="1216" spans="2:14" ht="15" x14ac:dyDescent="0.25">
      <c r="B1216" s="2" t="s">
        <v>434</v>
      </c>
    </row>
    <row r="1217" spans="2:14" ht="15" x14ac:dyDescent="0.25">
      <c r="C1217" s="13" t="s">
        <v>379</v>
      </c>
      <c r="E1217" s="2" t="s">
        <v>375</v>
      </c>
      <c r="F1217" s="2"/>
      <c r="G1217" s="2" t="s">
        <v>374</v>
      </c>
      <c r="H1217" s="2"/>
      <c r="I1217" s="2" t="s">
        <v>373</v>
      </c>
      <c r="J1217" s="2"/>
      <c r="K1217" s="2" t="s">
        <v>371</v>
      </c>
      <c r="L1217" s="2" t="s">
        <v>372</v>
      </c>
      <c r="M1217" s="2" t="s">
        <v>377</v>
      </c>
    </row>
    <row r="1218" spans="2:14" x14ac:dyDescent="0.2">
      <c r="C1218" s="9" t="s">
        <v>431</v>
      </c>
      <c r="E1218">
        <v>0.5</v>
      </c>
      <c r="F1218" t="s">
        <v>3</v>
      </c>
      <c r="G1218">
        <v>0.3</v>
      </c>
      <c r="H1218" t="s">
        <v>3</v>
      </c>
      <c r="I1218">
        <v>0.1</v>
      </c>
      <c r="J1218" t="s">
        <v>3</v>
      </c>
      <c r="K1218">
        <v>0</v>
      </c>
      <c r="L1218" s="20">
        <f t="shared" ref="L1218:L1224" si="794">SUM(E1218:K1218)</f>
        <v>0.9</v>
      </c>
      <c r="M1218" s="19">
        <f>L1218/40</f>
        <v>2.2499999999999999E-2</v>
      </c>
    </row>
    <row r="1219" spans="2:14" ht="15" x14ac:dyDescent="0.25">
      <c r="C1219" s="2" t="s">
        <v>376</v>
      </c>
      <c r="E1219">
        <v>15.2</v>
      </c>
      <c r="F1219" t="s">
        <v>3</v>
      </c>
      <c r="G1219">
        <v>27.4</v>
      </c>
      <c r="H1219" t="s">
        <v>3</v>
      </c>
      <c r="I1219">
        <v>17.399999999999999</v>
      </c>
      <c r="J1219" t="s">
        <v>3</v>
      </c>
      <c r="K1219">
        <v>27.1</v>
      </c>
      <c r="L1219" s="20">
        <f t="shared" si="794"/>
        <v>87.1</v>
      </c>
      <c r="M1219" s="19">
        <f t="shared" ref="M1219:M1224" si="795">L1219/40</f>
        <v>2.1774999999999998</v>
      </c>
    </row>
    <row r="1220" spans="2:14" x14ac:dyDescent="0.2">
      <c r="C1220" t="s">
        <v>378</v>
      </c>
      <c r="E1220">
        <v>2.1</v>
      </c>
      <c r="F1220" t="s">
        <v>3</v>
      </c>
      <c r="G1220">
        <v>2.4</v>
      </c>
      <c r="H1220" t="s">
        <v>3</v>
      </c>
      <c r="I1220">
        <v>2.6</v>
      </c>
      <c r="J1220" t="s">
        <v>3</v>
      </c>
      <c r="K1220">
        <v>2.7</v>
      </c>
      <c r="L1220" s="20">
        <f t="shared" si="794"/>
        <v>9.8000000000000007</v>
      </c>
      <c r="M1220" s="19">
        <f t="shared" si="795"/>
        <v>0.24500000000000002</v>
      </c>
      <c r="N1220" s="10" t="s">
        <v>436</v>
      </c>
    </row>
    <row r="1221" spans="2:14" x14ac:dyDescent="0.2">
      <c r="C1221" t="s">
        <v>350</v>
      </c>
      <c r="E1221">
        <v>6</v>
      </c>
      <c r="F1221" t="s">
        <v>3</v>
      </c>
      <c r="G1221">
        <v>6.5</v>
      </c>
      <c r="H1221" t="s">
        <v>3</v>
      </c>
      <c r="I1221">
        <v>6.5</v>
      </c>
      <c r="J1221" t="s">
        <v>3</v>
      </c>
      <c r="K1221">
        <v>6.4</v>
      </c>
      <c r="L1221" s="20">
        <f t="shared" si="794"/>
        <v>25.4</v>
      </c>
      <c r="M1221" s="19">
        <f t="shared" si="795"/>
        <v>0.63500000000000001</v>
      </c>
    </row>
    <row r="1222" spans="2:14" x14ac:dyDescent="0.2">
      <c r="C1222" t="s">
        <v>351</v>
      </c>
      <c r="E1222">
        <v>0.8</v>
      </c>
      <c r="F1222" t="s">
        <v>3</v>
      </c>
      <c r="G1222">
        <v>1.7</v>
      </c>
      <c r="H1222" t="s">
        <v>3</v>
      </c>
      <c r="I1222">
        <v>1</v>
      </c>
      <c r="J1222" t="s">
        <v>3</v>
      </c>
      <c r="K1222">
        <v>1.8</v>
      </c>
      <c r="L1222" s="20">
        <f t="shared" si="794"/>
        <v>5.3</v>
      </c>
      <c r="M1222" s="19">
        <f t="shared" si="795"/>
        <v>0.13250000000000001</v>
      </c>
    </row>
    <row r="1223" spans="2:14" x14ac:dyDescent="0.2">
      <c r="C1223" t="s">
        <v>352</v>
      </c>
      <c r="E1223">
        <v>5.9</v>
      </c>
      <c r="F1223" t="s">
        <v>3</v>
      </c>
      <c r="G1223">
        <v>16.100000000000001</v>
      </c>
      <c r="H1223" t="s">
        <v>3</v>
      </c>
      <c r="I1223">
        <v>5.5</v>
      </c>
      <c r="J1223" t="s">
        <v>3</v>
      </c>
      <c r="K1223">
        <v>14</v>
      </c>
      <c r="L1223" s="20">
        <f t="shared" si="794"/>
        <v>41.5</v>
      </c>
      <c r="M1223" s="19">
        <f t="shared" si="795"/>
        <v>1.0375000000000001</v>
      </c>
    </row>
    <row r="1224" spans="2:14" x14ac:dyDescent="0.2">
      <c r="C1224" t="s">
        <v>355</v>
      </c>
      <c r="E1224">
        <v>0.3</v>
      </c>
      <c r="F1224" t="s">
        <v>3</v>
      </c>
      <c r="G1224">
        <v>0.8</v>
      </c>
      <c r="H1224" t="s">
        <v>3</v>
      </c>
      <c r="I1224">
        <v>1.9</v>
      </c>
      <c r="J1224" t="s">
        <v>3</v>
      </c>
      <c r="K1224">
        <v>2.2000000000000002</v>
      </c>
      <c r="L1224" s="20">
        <f t="shared" si="794"/>
        <v>5.2</v>
      </c>
      <c r="M1224" s="19">
        <f t="shared" si="795"/>
        <v>0.13</v>
      </c>
    </row>
    <row r="1225" spans="2:14" ht="15" x14ac:dyDescent="0.25">
      <c r="C1225" s="2" t="s">
        <v>433</v>
      </c>
      <c r="L1225" s="20">
        <f>L1218+L1219</f>
        <v>88</v>
      </c>
      <c r="M1225" s="19">
        <f>L1225/41</f>
        <v>2.1463414634146343</v>
      </c>
      <c r="N1225" t="s">
        <v>435</v>
      </c>
    </row>
    <row r="1228" spans="2:14" ht="15" x14ac:dyDescent="0.25">
      <c r="B1228" s="2" t="s">
        <v>1025</v>
      </c>
    </row>
    <row r="1229" spans="2:14" ht="15" x14ac:dyDescent="0.25">
      <c r="C1229" s="13" t="s">
        <v>1024</v>
      </c>
      <c r="E1229" s="2">
        <v>2010</v>
      </c>
      <c r="F1229" s="2">
        <v>2015</v>
      </c>
      <c r="G1229" s="2">
        <v>2020</v>
      </c>
      <c r="H1229" s="2">
        <v>2025</v>
      </c>
      <c r="I1229" s="2">
        <v>2030</v>
      </c>
      <c r="J1229" s="2">
        <v>2035</v>
      </c>
      <c r="K1229" s="2">
        <v>2040</v>
      </c>
      <c r="L1229" s="2">
        <v>2045</v>
      </c>
      <c r="M1229" s="2">
        <v>2050</v>
      </c>
    </row>
    <row r="1230" spans="2:14" ht="15" x14ac:dyDescent="0.25">
      <c r="B1230" s="2"/>
      <c r="C1230" t="s">
        <v>1026</v>
      </c>
      <c r="E1230">
        <v>0.2</v>
      </c>
      <c r="F1230">
        <v>0.1</v>
      </c>
      <c r="G1230">
        <v>0.1</v>
      </c>
      <c r="I1230">
        <v>0.04</v>
      </c>
      <c r="K1230">
        <v>0.01</v>
      </c>
      <c r="M1230">
        <v>0</v>
      </c>
    </row>
    <row r="1231" spans="2:14" ht="15" x14ac:dyDescent="0.25">
      <c r="B1231" s="2"/>
    </row>
    <row r="1232" spans="2:14" ht="15" x14ac:dyDescent="0.25">
      <c r="B1232" s="2" t="s">
        <v>1248</v>
      </c>
    </row>
    <row r="1233" spans="1:13" ht="15" x14ac:dyDescent="0.25">
      <c r="B1233" s="2"/>
      <c r="C1233" s="13" t="s">
        <v>1249</v>
      </c>
    </row>
    <row r="1234" spans="1:13" ht="15" x14ac:dyDescent="0.25">
      <c r="B1234" s="2"/>
      <c r="C1234" s="9" t="s">
        <v>1250</v>
      </c>
      <c r="E1234">
        <v>6.55</v>
      </c>
      <c r="F1234">
        <v>11.77</v>
      </c>
      <c r="G1234">
        <v>13.89</v>
      </c>
      <c r="H1234">
        <v>15.08</v>
      </c>
      <c r="I1234">
        <v>16.170000000000002</v>
      </c>
      <c r="J1234">
        <v>17.3</v>
      </c>
      <c r="K1234">
        <v>18.45</v>
      </c>
      <c r="M1234">
        <v>21.82</v>
      </c>
    </row>
    <row r="1235" spans="1:13" ht="15" x14ac:dyDescent="0.25">
      <c r="B1235" s="2"/>
      <c r="C1235" s="13"/>
    </row>
    <row r="1236" spans="1:13" ht="27" x14ac:dyDescent="0.35">
      <c r="A1236" s="3" t="s">
        <v>1381</v>
      </c>
    </row>
    <row r="1238" spans="1:13" ht="15" x14ac:dyDescent="0.25">
      <c r="B1238" s="2" t="s">
        <v>391</v>
      </c>
    </row>
    <row r="1239" spans="1:13" ht="15" x14ac:dyDescent="0.25">
      <c r="B1239" s="13" t="s">
        <v>440</v>
      </c>
      <c r="D1239" s="2">
        <v>2000</v>
      </c>
      <c r="E1239" s="2">
        <v>2010</v>
      </c>
      <c r="F1239" s="2">
        <v>2015</v>
      </c>
      <c r="G1239" s="2">
        <v>2020</v>
      </c>
      <c r="H1239" s="2">
        <v>2025</v>
      </c>
      <c r="I1239" s="2">
        <v>2030</v>
      </c>
      <c r="J1239" s="2">
        <v>2035</v>
      </c>
      <c r="K1239" s="2">
        <v>2040</v>
      </c>
      <c r="L1239" s="2">
        <v>2045</v>
      </c>
      <c r="M1239" s="2">
        <v>2050</v>
      </c>
    </row>
    <row r="1240" spans="1:13" x14ac:dyDescent="0.2">
      <c r="C1240" s="9" t="s">
        <v>545</v>
      </c>
      <c r="D1240">
        <v>56.6</v>
      </c>
      <c r="E1240">
        <v>67</v>
      </c>
      <c r="F1240">
        <v>65.099999999999994</v>
      </c>
      <c r="G1240">
        <v>64.599999999999994</v>
      </c>
      <c r="H1240">
        <v>64.3</v>
      </c>
      <c r="I1240">
        <v>64</v>
      </c>
      <c r="J1240">
        <v>63.8</v>
      </c>
      <c r="K1240">
        <v>63.7</v>
      </c>
      <c r="L1240">
        <v>63.9</v>
      </c>
      <c r="M1240">
        <v>64.099999999999994</v>
      </c>
    </row>
    <row r="1241" spans="1:13" x14ac:dyDescent="0.2">
      <c r="C1241" s="9" t="s">
        <v>546</v>
      </c>
      <c r="D1241">
        <v>53.9</v>
      </c>
      <c r="E1241">
        <v>63.8</v>
      </c>
      <c r="F1241">
        <v>67.3</v>
      </c>
      <c r="G1241">
        <v>71.400000000000006</v>
      </c>
      <c r="H1241">
        <v>73.900000000000006</v>
      </c>
      <c r="I1241">
        <v>76.7</v>
      </c>
      <c r="J1241">
        <v>79.900000000000006</v>
      </c>
      <c r="K1241">
        <v>83.4</v>
      </c>
      <c r="L1241">
        <v>87.5</v>
      </c>
      <c r="M1241">
        <v>92.1</v>
      </c>
    </row>
    <row r="1242" spans="1:13" x14ac:dyDescent="0.2">
      <c r="C1242" s="9" t="s">
        <v>547</v>
      </c>
      <c r="D1242">
        <v>65.099999999999994</v>
      </c>
      <c r="E1242">
        <v>69.400000000000006</v>
      </c>
      <c r="F1242">
        <v>70.8</v>
      </c>
      <c r="G1242">
        <v>71.5</v>
      </c>
      <c r="H1242">
        <v>70.8</v>
      </c>
      <c r="I1242">
        <v>70</v>
      </c>
      <c r="J1242">
        <v>69.3</v>
      </c>
      <c r="K1242">
        <v>69.099999999999994</v>
      </c>
      <c r="L1242">
        <v>68.900000000000006</v>
      </c>
      <c r="M1242">
        <v>68.599999999999994</v>
      </c>
    </row>
    <row r="1243" spans="1:13" x14ac:dyDescent="0.2">
      <c r="C1243" s="22" t="s">
        <v>548</v>
      </c>
      <c r="D1243" s="14">
        <v>9.5</v>
      </c>
      <c r="E1243" s="14">
        <v>11.4</v>
      </c>
      <c r="F1243" s="14">
        <v>12.4</v>
      </c>
      <c r="G1243" s="14">
        <v>13.8</v>
      </c>
      <c r="H1243" s="14">
        <v>15.2</v>
      </c>
      <c r="I1243" s="14">
        <v>17.100000000000001</v>
      </c>
      <c r="J1243" s="14">
        <v>19</v>
      </c>
      <c r="K1243" s="14">
        <v>21.1</v>
      </c>
      <c r="L1243" s="14">
        <v>22.6</v>
      </c>
      <c r="M1243" s="14">
        <v>23.7</v>
      </c>
    </row>
    <row r="1244" spans="1:13" x14ac:dyDescent="0.2">
      <c r="C1244" t="s">
        <v>549</v>
      </c>
      <c r="D1244" s="20">
        <f>SUM(D1240:D1243)</f>
        <v>185.1</v>
      </c>
      <c r="E1244" s="20">
        <f t="shared" ref="E1244:M1244" si="796">SUM(E1240:E1243)</f>
        <v>211.60000000000002</v>
      </c>
      <c r="F1244" s="20">
        <f t="shared" si="796"/>
        <v>215.6</v>
      </c>
      <c r="G1244" s="20">
        <f t="shared" si="796"/>
        <v>221.3</v>
      </c>
      <c r="H1244" s="20">
        <f t="shared" si="796"/>
        <v>224.2</v>
      </c>
      <c r="I1244" s="20">
        <f t="shared" si="796"/>
        <v>227.79999999999998</v>
      </c>
      <c r="J1244" s="20">
        <f t="shared" si="796"/>
        <v>232</v>
      </c>
      <c r="K1244" s="20">
        <f t="shared" si="796"/>
        <v>237.3</v>
      </c>
      <c r="L1244" s="20">
        <f t="shared" si="796"/>
        <v>242.9</v>
      </c>
      <c r="M1244" s="20">
        <f t="shared" si="796"/>
        <v>248.49999999999997</v>
      </c>
    </row>
    <row r="1245" spans="1:13" x14ac:dyDescent="0.2">
      <c r="C1245" t="s">
        <v>550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0.1</v>
      </c>
      <c r="K1245">
        <v>0.5</v>
      </c>
      <c r="L1245">
        <v>1</v>
      </c>
      <c r="M1245">
        <v>1.8</v>
      </c>
    </row>
    <row r="1247" spans="1:13" x14ac:dyDescent="0.2">
      <c r="C1247" s="9" t="s">
        <v>551</v>
      </c>
      <c r="D1247">
        <v>56.6</v>
      </c>
      <c r="E1247">
        <v>67</v>
      </c>
      <c r="F1247">
        <v>65.099999999999994</v>
      </c>
      <c r="G1247">
        <v>63.9</v>
      </c>
      <c r="H1247">
        <v>61.9</v>
      </c>
      <c r="I1247">
        <v>58.7</v>
      </c>
      <c r="J1247">
        <v>55.9</v>
      </c>
      <c r="K1247">
        <v>53.3</v>
      </c>
      <c r="L1247">
        <v>50.9</v>
      </c>
      <c r="M1247">
        <v>48.4</v>
      </c>
    </row>
    <row r="1248" spans="1:13" x14ac:dyDescent="0.2">
      <c r="C1248" s="9" t="s">
        <v>552</v>
      </c>
      <c r="D1248">
        <v>53.9</v>
      </c>
      <c r="E1248">
        <v>63.8</v>
      </c>
      <c r="F1248">
        <v>63.7</v>
      </c>
      <c r="G1248">
        <v>63.5</v>
      </c>
      <c r="H1248">
        <v>61.7</v>
      </c>
      <c r="I1248">
        <v>60.1</v>
      </c>
      <c r="J1248">
        <v>58.7</v>
      </c>
      <c r="K1248">
        <v>57.6</v>
      </c>
      <c r="L1248">
        <v>56.7</v>
      </c>
      <c r="M1248">
        <v>56</v>
      </c>
    </row>
    <row r="1249" spans="2:13" x14ac:dyDescent="0.2">
      <c r="C1249" s="9" t="s">
        <v>553</v>
      </c>
      <c r="D1249">
        <v>65.099999999999994</v>
      </c>
      <c r="E1249">
        <v>69.400000000000006</v>
      </c>
      <c r="F1249">
        <v>70.8</v>
      </c>
      <c r="G1249">
        <v>66.599999999999994</v>
      </c>
      <c r="H1249">
        <v>61.7</v>
      </c>
      <c r="I1249">
        <v>57.2</v>
      </c>
      <c r="J1249">
        <v>53.5</v>
      </c>
      <c r="K1249">
        <v>50.6</v>
      </c>
      <c r="L1249">
        <v>47.9</v>
      </c>
      <c r="M1249">
        <v>45.5</v>
      </c>
    </row>
    <row r="1250" spans="2:13" x14ac:dyDescent="0.2">
      <c r="C1250" s="22" t="s">
        <v>554</v>
      </c>
      <c r="D1250" s="14">
        <v>9.5</v>
      </c>
      <c r="E1250" s="14">
        <v>11.4</v>
      </c>
      <c r="F1250" s="14">
        <v>13.4</v>
      </c>
      <c r="G1250" s="14">
        <v>16.5</v>
      </c>
      <c r="H1250" s="14">
        <v>19.600000000000001</v>
      </c>
      <c r="I1250" s="14">
        <v>24.6</v>
      </c>
      <c r="J1250" s="14">
        <v>30</v>
      </c>
      <c r="K1250" s="14">
        <v>34.6</v>
      </c>
      <c r="L1250" s="14">
        <v>38.1</v>
      </c>
      <c r="M1250" s="14">
        <v>41</v>
      </c>
    </row>
    <row r="1251" spans="2:13" x14ac:dyDescent="0.2">
      <c r="C1251" t="s">
        <v>555</v>
      </c>
      <c r="D1251" s="20">
        <f>SUM(D1247:D1250)</f>
        <v>185.1</v>
      </c>
      <c r="E1251" s="20">
        <f t="shared" ref="E1251:M1251" si="797">SUM(E1247:E1250)</f>
        <v>211.60000000000002</v>
      </c>
      <c r="F1251" s="20">
        <f t="shared" si="797"/>
        <v>213.00000000000003</v>
      </c>
      <c r="G1251" s="20">
        <f t="shared" si="797"/>
        <v>210.5</v>
      </c>
      <c r="H1251" s="20">
        <f t="shared" si="797"/>
        <v>204.9</v>
      </c>
      <c r="I1251" s="20">
        <f t="shared" si="797"/>
        <v>200.6</v>
      </c>
      <c r="J1251" s="20">
        <f t="shared" si="797"/>
        <v>198.1</v>
      </c>
      <c r="K1251" s="20">
        <f t="shared" si="797"/>
        <v>196.1</v>
      </c>
      <c r="L1251" s="20">
        <f t="shared" si="797"/>
        <v>193.6</v>
      </c>
      <c r="M1251" s="20">
        <f t="shared" si="797"/>
        <v>190.9</v>
      </c>
    </row>
    <row r="1252" spans="2:13" x14ac:dyDescent="0.2">
      <c r="C1252" t="s">
        <v>556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0.2</v>
      </c>
      <c r="K1252">
        <v>0.6</v>
      </c>
      <c r="L1252">
        <v>1.4</v>
      </c>
      <c r="M1252">
        <v>2.2999999999999998</v>
      </c>
    </row>
    <row r="1254" spans="2:13" x14ac:dyDescent="0.2">
      <c r="C1254" s="9" t="s">
        <v>557</v>
      </c>
      <c r="D1254">
        <v>56.6</v>
      </c>
      <c r="E1254">
        <v>67</v>
      </c>
      <c r="F1254">
        <v>65.099999999999994</v>
      </c>
      <c r="G1254">
        <v>63.7</v>
      </c>
      <c r="H1254">
        <v>61.5</v>
      </c>
      <c r="I1254">
        <v>58.8</v>
      </c>
      <c r="J1254">
        <v>56.7</v>
      </c>
      <c r="K1254">
        <v>55.6</v>
      </c>
      <c r="L1254">
        <v>54.9</v>
      </c>
      <c r="M1254">
        <v>54.4</v>
      </c>
    </row>
    <row r="1255" spans="2:13" x14ac:dyDescent="0.2">
      <c r="C1255" s="9" t="s">
        <v>558</v>
      </c>
      <c r="D1255">
        <v>53.9</v>
      </c>
      <c r="E1255">
        <v>63.8</v>
      </c>
      <c r="F1255">
        <v>66.599999999999994</v>
      </c>
      <c r="G1255">
        <v>67.3</v>
      </c>
      <c r="H1255">
        <v>67.7</v>
      </c>
      <c r="I1255">
        <v>68.8</v>
      </c>
      <c r="J1255">
        <v>70.599999999999994</v>
      </c>
      <c r="K1255">
        <v>73</v>
      </c>
      <c r="L1255">
        <v>75.900000000000006</v>
      </c>
      <c r="M1255">
        <v>79.400000000000006</v>
      </c>
    </row>
    <row r="1256" spans="2:13" x14ac:dyDescent="0.2">
      <c r="C1256" s="9" t="s">
        <v>559</v>
      </c>
      <c r="D1256">
        <v>65.099999999999994</v>
      </c>
      <c r="E1256">
        <v>69.400000000000006</v>
      </c>
      <c r="F1256">
        <v>70.2</v>
      </c>
      <c r="G1256">
        <v>65.599999999999994</v>
      </c>
      <c r="H1256">
        <v>62.1</v>
      </c>
      <c r="I1256">
        <v>59.3</v>
      </c>
      <c r="J1256">
        <v>57.3</v>
      </c>
      <c r="K1256">
        <v>56</v>
      </c>
      <c r="L1256">
        <v>54.9</v>
      </c>
      <c r="M1256">
        <v>53.7</v>
      </c>
    </row>
    <row r="1257" spans="2:13" x14ac:dyDescent="0.2">
      <c r="C1257" s="22" t="s">
        <v>560</v>
      </c>
      <c r="D1257" s="14">
        <v>9.5</v>
      </c>
      <c r="E1257" s="14">
        <v>11.4</v>
      </c>
      <c r="F1257" s="14">
        <v>12.5</v>
      </c>
      <c r="G1257" s="14">
        <v>14.4</v>
      </c>
      <c r="H1257" s="14">
        <v>16.7</v>
      </c>
      <c r="I1257" s="14">
        <v>20.2</v>
      </c>
      <c r="J1257" s="14">
        <v>23.8</v>
      </c>
      <c r="K1257" s="14">
        <v>27.2</v>
      </c>
      <c r="L1257" s="14">
        <v>29.8</v>
      </c>
      <c r="M1257" s="14">
        <v>31.5</v>
      </c>
    </row>
    <row r="1258" spans="2:13" x14ac:dyDescent="0.2">
      <c r="C1258" t="s">
        <v>561</v>
      </c>
      <c r="D1258" s="20">
        <f>SUM(D1254:D1257)</f>
        <v>185.1</v>
      </c>
      <c r="E1258" s="20">
        <f t="shared" ref="E1258:M1258" si="798">SUM(E1254:E1257)</f>
        <v>211.60000000000002</v>
      </c>
      <c r="F1258" s="20">
        <f t="shared" si="798"/>
        <v>214.39999999999998</v>
      </c>
      <c r="G1258" s="20">
        <f t="shared" si="798"/>
        <v>211</v>
      </c>
      <c r="H1258" s="20">
        <f t="shared" si="798"/>
        <v>207.99999999999997</v>
      </c>
      <c r="I1258" s="20">
        <f t="shared" si="798"/>
        <v>207.09999999999997</v>
      </c>
      <c r="J1258" s="20">
        <f t="shared" si="798"/>
        <v>208.4</v>
      </c>
      <c r="K1258" s="20">
        <f t="shared" si="798"/>
        <v>211.79999999999998</v>
      </c>
      <c r="L1258" s="20">
        <f t="shared" si="798"/>
        <v>215.50000000000003</v>
      </c>
      <c r="M1258" s="20">
        <f t="shared" si="798"/>
        <v>219</v>
      </c>
    </row>
    <row r="1259" spans="2:13" x14ac:dyDescent="0.2">
      <c r="C1259" t="s">
        <v>562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0.2</v>
      </c>
      <c r="K1259">
        <v>0.7</v>
      </c>
      <c r="L1259">
        <v>1.5</v>
      </c>
      <c r="M1259">
        <v>2.5</v>
      </c>
    </row>
    <row r="1261" spans="2:13" ht="15" x14ac:dyDescent="0.25">
      <c r="B1261" s="2" t="s">
        <v>391</v>
      </c>
    </row>
    <row r="1262" spans="2:13" x14ac:dyDescent="0.2">
      <c r="B1262" s="13" t="s">
        <v>563</v>
      </c>
    </row>
    <row r="1263" spans="2:13" x14ac:dyDescent="0.2">
      <c r="C1263" t="str">
        <f t="shared" ref="C1263:C1268" si="799">C1240</f>
        <v>Privathaushalte, WWB</v>
      </c>
      <c r="D1263" s="4">
        <f t="shared" ref="D1263:M1268" si="800">D1240/3.6</f>
        <v>15.722222222222221</v>
      </c>
      <c r="E1263" s="4">
        <f t="shared" si="800"/>
        <v>18.611111111111111</v>
      </c>
      <c r="F1263" s="4">
        <f t="shared" si="800"/>
        <v>18.083333333333332</v>
      </c>
      <c r="G1263" s="4">
        <f t="shared" si="800"/>
        <v>17.944444444444443</v>
      </c>
      <c r="H1263" s="4">
        <f t="shared" si="800"/>
        <v>17.861111111111111</v>
      </c>
      <c r="I1263" s="4">
        <f t="shared" si="800"/>
        <v>17.777777777777779</v>
      </c>
      <c r="J1263" s="4">
        <f t="shared" si="800"/>
        <v>17.722222222222221</v>
      </c>
      <c r="K1263" s="4">
        <f t="shared" si="800"/>
        <v>17.694444444444446</v>
      </c>
      <c r="L1263" s="4">
        <f t="shared" si="800"/>
        <v>17.75</v>
      </c>
      <c r="M1263" s="4">
        <f t="shared" si="800"/>
        <v>17.805555555555554</v>
      </c>
    </row>
    <row r="1264" spans="2:13" x14ac:dyDescent="0.2">
      <c r="C1264" t="str">
        <f t="shared" si="799"/>
        <v>Dienstleistungen, WWB</v>
      </c>
      <c r="D1264" s="4">
        <f t="shared" si="800"/>
        <v>14.972222222222221</v>
      </c>
      <c r="E1264" s="4">
        <f t="shared" si="800"/>
        <v>17.722222222222221</v>
      </c>
      <c r="F1264" s="4">
        <f t="shared" si="800"/>
        <v>18.694444444444443</v>
      </c>
      <c r="G1264" s="4">
        <f t="shared" si="800"/>
        <v>19.833333333333336</v>
      </c>
      <c r="H1264" s="4">
        <f t="shared" si="800"/>
        <v>20.527777777777779</v>
      </c>
      <c r="I1264" s="4">
        <f t="shared" si="800"/>
        <v>21.305555555555557</v>
      </c>
      <c r="J1264" s="4">
        <f t="shared" si="800"/>
        <v>22.194444444444446</v>
      </c>
      <c r="K1264" s="4">
        <f t="shared" si="800"/>
        <v>23.166666666666668</v>
      </c>
      <c r="L1264" s="4">
        <f t="shared" si="800"/>
        <v>24.305555555555554</v>
      </c>
      <c r="M1264" s="4">
        <f t="shared" si="800"/>
        <v>25.583333333333332</v>
      </c>
    </row>
    <row r="1265" spans="3:13" x14ac:dyDescent="0.2">
      <c r="C1265" t="str">
        <f t="shared" si="799"/>
        <v>Industrie, WWB</v>
      </c>
      <c r="D1265" s="4">
        <f t="shared" si="800"/>
        <v>18.083333333333332</v>
      </c>
      <c r="E1265" s="4">
        <f t="shared" si="800"/>
        <v>19.277777777777779</v>
      </c>
      <c r="F1265" s="4">
        <f t="shared" si="800"/>
        <v>19.666666666666664</v>
      </c>
      <c r="G1265" s="4">
        <f t="shared" si="800"/>
        <v>19.861111111111111</v>
      </c>
      <c r="H1265" s="4">
        <f t="shared" si="800"/>
        <v>19.666666666666664</v>
      </c>
      <c r="I1265" s="4">
        <f t="shared" si="800"/>
        <v>19.444444444444443</v>
      </c>
      <c r="J1265" s="4">
        <f t="shared" si="800"/>
        <v>19.25</v>
      </c>
      <c r="K1265" s="4">
        <f t="shared" si="800"/>
        <v>19.194444444444443</v>
      </c>
      <c r="L1265" s="4">
        <f t="shared" si="800"/>
        <v>19.138888888888889</v>
      </c>
      <c r="M1265" s="4">
        <f t="shared" si="800"/>
        <v>19.055555555555554</v>
      </c>
    </row>
    <row r="1266" spans="3:13" x14ac:dyDescent="0.2">
      <c r="C1266" t="str">
        <f t="shared" si="799"/>
        <v>Verkehr, WWB</v>
      </c>
      <c r="D1266" s="4">
        <f t="shared" si="800"/>
        <v>2.6388888888888888</v>
      </c>
      <c r="E1266" s="4">
        <f t="shared" si="800"/>
        <v>3.1666666666666665</v>
      </c>
      <c r="F1266" s="4">
        <f t="shared" si="800"/>
        <v>3.4444444444444446</v>
      </c>
      <c r="G1266" s="4">
        <f t="shared" si="800"/>
        <v>3.8333333333333335</v>
      </c>
      <c r="H1266" s="4">
        <f t="shared" si="800"/>
        <v>4.2222222222222223</v>
      </c>
      <c r="I1266" s="4">
        <f t="shared" si="800"/>
        <v>4.75</v>
      </c>
      <c r="J1266" s="4">
        <f t="shared" si="800"/>
        <v>5.2777777777777777</v>
      </c>
      <c r="K1266" s="4">
        <f t="shared" si="800"/>
        <v>5.8611111111111116</v>
      </c>
      <c r="L1266" s="4">
        <f t="shared" si="800"/>
        <v>6.2777777777777777</v>
      </c>
      <c r="M1266" s="4">
        <f t="shared" si="800"/>
        <v>6.583333333333333</v>
      </c>
    </row>
    <row r="1267" spans="3:13" ht="15" x14ac:dyDescent="0.25">
      <c r="C1267" s="14" t="str">
        <f t="shared" si="799"/>
        <v>Elektrizität, WWB</v>
      </c>
      <c r="D1267" s="74">
        <f t="shared" si="800"/>
        <v>51.416666666666664</v>
      </c>
      <c r="E1267" s="74">
        <f t="shared" si="800"/>
        <v>58.777777777777786</v>
      </c>
      <c r="F1267" s="74">
        <f t="shared" si="800"/>
        <v>59.888888888888886</v>
      </c>
      <c r="G1267" s="74">
        <f t="shared" si="800"/>
        <v>61.472222222222221</v>
      </c>
      <c r="H1267" s="74">
        <f t="shared" si="800"/>
        <v>62.277777777777771</v>
      </c>
      <c r="I1267" s="74">
        <f t="shared" si="800"/>
        <v>63.277777777777771</v>
      </c>
      <c r="J1267" s="74">
        <f t="shared" si="800"/>
        <v>64.444444444444443</v>
      </c>
      <c r="K1267" s="74">
        <f t="shared" si="800"/>
        <v>65.916666666666671</v>
      </c>
      <c r="L1267" s="74">
        <f t="shared" si="800"/>
        <v>67.472222222222229</v>
      </c>
      <c r="M1267" s="74">
        <f t="shared" si="800"/>
        <v>69.027777777777771</v>
      </c>
    </row>
    <row r="1268" spans="3:13" x14ac:dyDescent="0.2">
      <c r="C1268" s="29" t="str">
        <f t="shared" si="799"/>
        <v>Wasserstoff, Verkehr, WWB</v>
      </c>
      <c r="D1268" s="30">
        <f t="shared" si="800"/>
        <v>0</v>
      </c>
      <c r="E1268" s="30">
        <f t="shared" si="800"/>
        <v>0</v>
      </c>
      <c r="F1268" s="30">
        <f t="shared" si="800"/>
        <v>0</v>
      </c>
      <c r="G1268" s="30">
        <f t="shared" si="800"/>
        <v>0</v>
      </c>
      <c r="H1268" s="30">
        <f t="shared" si="800"/>
        <v>0</v>
      </c>
      <c r="I1268" s="30">
        <f t="shared" si="800"/>
        <v>0</v>
      </c>
      <c r="J1268" s="30">
        <f t="shared" si="800"/>
        <v>2.777777777777778E-2</v>
      </c>
      <c r="K1268" s="30">
        <f t="shared" si="800"/>
        <v>0.1388888888888889</v>
      </c>
      <c r="L1268" s="30">
        <f t="shared" si="800"/>
        <v>0.27777777777777779</v>
      </c>
      <c r="M1268" s="30">
        <f t="shared" si="800"/>
        <v>0.5</v>
      </c>
    </row>
    <row r="1269" spans="3:13" x14ac:dyDescent="0.2">
      <c r="C1269" s="29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</row>
    <row r="1270" spans="3:13" x14ac:dyDescent="0.2">
      <c r="C1270" t="str">
        <f t="shared" ref="C1270:C1275" si="801">C1247</f>
        <v>Privathaushalte, NEP</v>
      </c>
      <c r="D1270" s="4">
        <f t="shared" ref="D1270:M1275" si="802">D1247/3.6</f>
        <v>15.722222222222221</v>
      </c>
      <c r="E1270" s="4">
        <f t="shared" si="802"/>
        <v>18.611111111111111</v>
      </c>
      <c r="F1270" s="4">
        <f t="shared" si="802"/>
        <v>18.083333333333332</v>
      </c>
      <c r="G1270" s="4">
        <f t="shared" si="802"/>
        <v>17.75</v>
      </c>
      <c r="H1270" s="4">
        <f t="shared" si="802"/>
        <v>17.194444444444443</v>
      </c>
      <c r="I1270" s="4">
        <f t="shared" si="802"/>
        <v>16.305555555555557</v>
      </c>
      <c r="J1270" s="4">
        <f t="shared" si="802"/>
        <v>15.527777777777777</v>
      </c>
      <c r="K1270" s="4">
        <f t="shared" si="802"/>
        <v>14.805555555555554</v>
      </c>
      <c r="L1270" s="4">
        <f t="shared" si="802"/>
        <v>14.138888888888888</v>
      </c>
      <c r="M1270" s="4">
        <f t="shared" si="802"/>
        <v>13.444444444444443</v>
      </c>
    </row>
    <row r="1271" spans="3:13" x14ac:dyDescent="0.2">
      <c r="C1271" t="str">
        <f t="shared" si="801"/>
        <v>Dienstleistungen, NEP</v>
      </c>
      <c r="D1271" s="4">
        <f t="shared" si="802"/>
        <v>14.972222222222221</v>
      </c>
      <c r="E1271" s="4">
        <f t="shared" si="802"/>
        <v>17.722222222222221</v>
      </c>
      <c r="F1271" s="4">
        <f t="shared" si="802"/>
        <v>17.694444444444446</v>
      </c>
      <c r="G1271" s="4">
        <f t="shared" si="802"/>
        <v>17.638888888888889</v>
      </c>
      <c r="H1271" s="4">
        <f t="shared" si="802"/>
        <v>17.138888888888889</v>
      </c>
      <c r="I1271" s="4">
        <f t="shared" si="802"/>
        <v>16.694444444444443</v>
      </c>
      <c r="J1271" s="4">
        <f t="shared" si="802"/>
        <v>16.305555555555557</v>
      </c>
      <c r="K1271" s="4">
        <f t="shared" si="802"/>
        <v>16</v>
      </c>
      <c r="L1271" s="4">
        <f t="shared" si="802"/>
        <v>15.75</v>
      </c>
      <c r="M1271" s="4">
        <f t="shared" si="802"/>
        <v>15.555555555555555</v>
      </c>
    </row>
    <row r="1272" spans="3:13" x14ac:dyDescent="0.2">
      <c r="C1272" t="str">
        <f t="shared" si="801"/>
        <v>Industrie, NEP</v>
      </c>
      <c r="D1272" s="4">
        <f t="shared" si="802"/>
        <v>18.083333333333332</v>
      </c>
      <c r="E1272" s="4">
        <f t="shared" si="802"/>
        <v>19.277777777777779</v>
      </c>
      <c r="F1272" s="4">
        <f t="shared" si="802"/>
        <v>19.666666666666664</v>
      </c>
      <c r="G1272" s="4">
        <f t="shared" si="802"/>
        <v>18.499999999999996</v>
      </c>
      <c r="H1272" s="4">
        <f t="shared" si="802"/>
        <v>17.138888888888889</v>
      </c>
      <c r="I1272" s="4">
        <f t="shared" si="802"/>
        <v>15.888888888888889</v>
      </c>
      <c r="J1272" s="4">
        <f t="shared" si="802"/>
        <v>14.861111111111111</v>
      </c>
      <c r="K1272" s="4">
        <f t="shared" si="802"/>
        <v>14.055555555555555</v>
      </c>
      <c r="L1272" s="4">
        <f t="shared" si="802"/>
        <v>13.305555555555555</v>
      </c>
      <c r="M1272" s="4">
        <f t="shared" si="802"/>
        <v>12.638888888888889</v>
      </c>
    </row>
    <row r="1273" spans="3:13" x14ac:dyDescent="0.2">
      <c r="C1273" t="str">
        <f t="shared" si="801"/>
        <v>Verkehr, NEP</v>
      </c>
      <c r="D1273" s="4">
        <f t="shared" si="802"/>
        <v>2.6388888888888888</v>
      </c>
      <c r="E1273" s="4">
        <f t="shared" si="802"/>
        <v>3.1666666666666665</v>
      </c>
      <c r="F1273" s="4">
        <f t="shared" si="802"/>
        <v>3.7222222222222223</v>
      </c>
      <c r="G1273" s="4">
        <f t="shared" si="802"/>
        <v>4.583333333333333</v>
      </c>
      <c r="H1273" s="4">
        <f t="shared" si="802"/>
        <v>5.4444444444444446</v>
      </c>
      <c r="I1273" s="4">
        <f t="shared" si="802"/>
        <v>6.8333333333333339</v>
      </c>
      <c r="J1273" s="4">
        <f t="shared" si="802"/>
        <v>8.3333333333333339</v>
      </c>
      <c r="K1273" s="4">
        <f t="shared" si="802"/>
        <v>9.6111111111111107</v>
      </c>
      <c r="L1273" s="4">
        <f t="shared" si="802"/>
        <v>10.583333333333334</v>
      </c>
      <c r="M1273" s="4">
        <f t="shared" si="802"/>
        <v>11.388888888888889</v>
      </c>
    </row>
    <row r="1274" spans="3:13" ht="15" x14ac:dyDescent="0.25">
      <c r="C1274" s="14" t="str">
        <f t="shared" si="801"/>
        <v>Elektrizität, NEP</v>
      </c>
      <c r="D1274" s="74">
        <f t="shared" si="802"/>
        <v>51.416666666666664</v>
      </c>
      <c r="E1274" s="74">
        <f t="shared" si="802"/>
        <v>58.777777777777786</v>
      </c>
      <c r="F1274" s="74">
        <f t="shared" si="802"/>
        <v>59.166666666666671</v>
      </c>
      <c r="G1274" s="74">
        <f t="shared" si="802"/>
        <v>58.472222222222221</v>
      </c>
      <c r="H1274" s="74">
        <f t="shared" si="802"/>
        <v>56.916666666666664</v>
      </c>
      <c r="I1274" s="74">
        <f t="shared" si="802"/>
        <v>55.722222222222221</v>
      </c>
      <c r="J1274" s="74">
        <f t="shared" si="802"/>
        <v>55.027777777777771</v>
      </c>
      <c r="K1274" s="74">
        <f t="shared" si="802"/>
        <v>54.472222222222221</v>
      </c>
      <c r="L1274" s="74">
        <f t="shared" si="802"/>
        <v>53.777777777777771</v>
      </c>
      <c r="M1274" s="74">
        <f t="shared" si="802"/>
        <v>53.027777777777779</v>
      </c>
    </row>
    <row r="1275" spans="3:13" x14ac:dyDescent="0.2">
      <c r="C1275" s="29" t="str">
        <f t="shared" si="801"/>
        <v>Wasserstoff, Verkehr, NEP</v>
      </c>
      <c r="D1275" s="30">
        <f t="shared" si="802"/>
        <v>0</v>
      </c>
      <c r="E1275" s="30">
        <f t="shared" si="802"/>
        <v>0</v>
      </c>
      <c r="F1275" s="30">
        <f t="shared" si="802"/>
        <v>0</v>
      </c>
      <c r="G1275" s="30">
        <f t="shared" si="802"/>
        <v>0</v>
      </c>
      <c r="H1275" s="30">
        <f t="shared" si="802"/>
        <v>0</v>
      </c>
      <c r="I1275" s="30">
        <f t="shared" si="802"/>
        <v>0</v>
      </c>
      <c r="J1275" s="30">
        <f t="shared" si="802"/>
        <v>5.5555555555555559E-2</v>
      </c>
      <c r="K1275" s="30">
        <f t="shared" si="802"/>
        <v>0.16666666666666666</v>
      </c>
      <c r="L1275" s="30">
        <f t="shared" si="802"/>
        <v>0.38888888888888884</v>
      </c>
      <c r="M1275" s="30">
        <f t="shared" si="802"/>
        <v>0.63888888888888884</v>
      </c>
    </row>
    <row r="1276" spans="3:13" x14ac:dyDescent="0.2">
      <c r="C1276" s="29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</row>
    <row r="1277" spans="3:13" x14ac:dyDescent="0.2">
      <c r="C1277" t="str">
        <f t="shared" ref="C1277:C1282" si="803">C1254</f>
        <v>Privathaushalte, POM</v>
      </c>
      <c r="D1277" s="4">
        <f t="shared" ref="D1277:M1282" si="804">D1254/3.6</f>
        <v>15.722222222222221</v>
      </c>
      <c r="E1277" s="4">
        <f t="shared" si="804"/>
        <v>18.611111111111111</v>
      </c>
      <c r="F1277" s="4">
        <f t="shared" si="804"/>
        <v>18.083333333333332</v>
      </c>
      <c r="G1277" s="4">
        <f t="shared" si="804"/>
        <v>17.694444444444446</v>
      </c>
      <c r="H1277" s="4">
        <f t="shared" si="804"/>
        <v>17.083333333333332</v>
      </c>
      <c r="I1277" s="4">
        <f t="shared" si="804"/>
        <v>16.333333333333332</v>
      </c>
      <c r="J1277" s="4">
        <f t="shared" si="804"/>
        <v>15.75</v>
      </c>
      <c r="K1277" s="4">
        <f t="shared" si="804"/>
        <v>15.444444444444445</v>
      </c>
      <c r="L1277" s="4">
        <f t="shared" si="804"/>
        <v>15.25</v>
      </c>
      <c r="M1277" s="4">
        <f t="shared" si="804"/>
        <v>15.111111111111111</v>
      </c>
    </row>
    <row r="1278" spans="3:13" x14ac:dyDescent="0.2">
      <c r="C1278" t="str">
        <f t="shared" si="803"/>
        <v>Dienstleistungen, POM</v>
      </c>
      <c r="D1278" s="4">
        <f t="shared" si="804"/>
        <v>14.972222222222221</v>
      </c>
      <c r="E1278" s="4">
        <f t="shared" si="804"/>
        <v>17.722222222222221</v>
      </c>
      <c r="F1278" s="4">
        <f t="shared" si="804"/>
        <v>18.499999999999996</v>
      </c>
      <c r="G1278" s="4">
        <f t="shared" si="804"/>
        <v>18.694444444444443</v>
      </c>
      <c r="H1278" s="4">
        <f t="shared" si="804"/>
        <v>18.805555555555557</v>
      </c>
      <c r="I1278" s="4">
        <f t="shared" si="804"/>
        <v>19.111111111111111</v>
      </c>
      <c r="J1278" s="4">
        <f t="shared" si="804"/>
        <v>19.611111111111111</v>
      </c>
      <c r="K1278" s="4">
        <f t="shared" si="804"/>
        <v>20.277777777777779</v>
      </c>
      <c r="L1278" s="4">
        <f t="shared" si="804"/>
        <v>21.083333333333336</v>
      </c>
      <c r="M1278" s="4">
        <f t="shared" si="804"/>
        <v>22.055555555555557</v>
      </c>
    </row>
    <row r="1279" spans="3:13" x14ac:dyDescent="0.2">
      <c r="C1279" t="str">
        <f t="shared" si="803"/>
        <v>Industrie, POM</v>
      </c>
      <c r="D1279" s="4">
        <f t="shared" si="804"/>
        <v>18.083333333333332</v>
      </c>
      <c r="E1279" s="4">
        <f t="shared" si="804"/>
        <v>19.277777777777779</v>
      </c>
      <c r="F1279" s="4">
        <f t="shared" si="804"/>
        <v>19.5</v>
      </c>
      <c r="G1279" s="4">
        <f t="shared" si="804"/>
        <v>18.222222222222221</v>
      </c>
      <c r="H1279" s="4">
        <f t="shared" si="804"/>
        <v>17.25</v>
      </c>
      <c r="I1279" s="4">
        <f t="shared" si="804"/>
        <v>16.472222222222221</v>
      </c>
      <c r="J1279" s="4">
        <f t="shared" si="804"/>
        <v>15.916666666666666</v>
      </c>
      <c r="K1279" s="4">
        <f t="shared" si="804"/>
        <v>15.555555555555555</v>
      </c>
      <c r="L1279" s="4">
        <f t="shared" si="804"/>
        <v>15.25</v>
      </c>
      <c r="M1279" s="4">
        <f t="shared" si="804"/>
        <v>14.916666666666668</v>
      </c>
    </row>
    <row r="1280" spans="3:13" x14ac:dyDescent="0.2">
      <c r="C1280" t="str">
        <f t="shared" si="803"/>
        <v>Verkehr, POM</v>
      </c>
      <c r="D1280" s="4">
        <f t="shared" si="804"/>
        <v>2.6388888888888888</v>
      </c>
      <c r="E1280" s="4">
        <f t="shared" si="804"/>
        <v>3.1666666666666665</v>
      </c>
      <c r="F1280" s="4">
        <f t="shared" si="804"/>
        <v>3.4722222222222223</v>
      </c>
      <c r="G1280" s="4">
        <f t="shared" si="804"/>
        <v>4</v>
      </c>
      <c r="H1280" s="4">
        <f t="shared" si="804"/>
        <v>4.6388888888888884</v>
      </c>
      <c r="I1280" s="4">
        <f t="shared" si="804"/>
        <v>5.6111111111111107</v>
      </c>
      <c r="J1280" s="4">
        <f t="shared" si="804"/>
        <v>6.6111111111111107</v>
      </c>
      <c r="K1280" s="4">
        <f t="shared" si="804"/>
        <v>7.5555555555555554</v>
      </c>
      <c r="L1280" s="4">
        <f t="shared" si="804"/>
        <v>8.2777777777777786</v>
      </c>
      <c r="M1280" s="4">
        <f t="shared" si="804"/>
        <v>8.75</v>
      </c>
    </row>
    <row r="1281" spans="2:13" ht="15" x14ac:dyDescent="0.25">
      <c r="C1281" s="14" t="str">
        <f t="shared" si="803"/>
        <v>Elektrizität, POM</v>
      </c>
      <c r="D1281" s="74">
        <f t="shared" si="804"/>
        <v>51.416666666666664</v>
      </c>
      <c r="E1281" s="74">
        <f t="shared" si="804"/>
        <v>58.777777777777786</v>
      </c>
      <c r="F1281" s="74">
        <f t="shared" si="804"/>
        <v>59.55555555555555</v>
      </c>
      <c r="G1281" s="74">
        <f t="shared" si="804"/>
        <v>58.611111111111107</v>
      </c>
      <c r="H1281" s="74">
        <f t="shared" si="804"/>
        <v>57.777777777777771</v>
      </c>
      <c r="I1281" s="74">
        <f t="shared" si="804"/>
        <v>57.527777777777764</v>
      </c>
      <c r="J1281" s="74">
        <f t="shared" si="804"/>
        <v>57.888888888888886</v>
      </c>
      <c r="K1281" s="74">
        <f t="shared" si="804"/>
        <v>58.833333333333329</v>
      </c>
      <c r="L1281" s="74">
        <f t="shared" si="804"/>
        <v>59.861111111111114</v>
      </c>
      <c r="M1281" s="74">
        <f t="shared" si="804"/>
        <v>60.833333333333329</v>
      </c>
    </row>
    <row r="1282" spans="2:13" x14ac:dyDescent="0.2">
      <c r="C1282" s="29" t="str">
        <f t="shared" si="803"/>
        <v>Wasserstoff, Verkehr, POM</v>
      </c>
      <c r="D1282" s="30">
        <f t="shared" si="804"/>
        <v>0</v>
      </c>
      <c r="E1282" s="30">
        <f t="shared" si="804"/>
        <v>0</v>
      </c>
      <c r="F1282" s="30">
        <f t="shared" si="804"/>
        <v>0</v>
      </c>
      <c r="G1282" s="30">
        <f t="shared" si="804"/>
        <v>0</v>
      </c>
      <c r="H1282" s="30">
        <f t="shared" si="804"/>
        <v>0</v>
      </c>
      <c r="I1282" s="30">
        <f t="shared" si="804"/>
        <v>0</v>
      </c>
      <c r="J1282" s="30">
        <f t="shared" si="804"/>
        <v>5.5555555555555559E-2</v>
      </c>
      <c r="K1282" s="30">
        <f t="shared" si="804"/>
        <v>0.19444444444444442</v>
      </c>
      <c r="L1282" s="30">
        <f t="shared" si="804"/>
        <v>0.41666666666666663</v>
      </c>
      <c r="M1282" s="30">
        <f t="shared" si="804"/>
        <v>0.69444444444444442</v>
      </c>
    </row>
    <row r="1285" spans="2:13" ht="15" x14ac:dyDescent="0.25">
      <c r="B1285" s="2" t="s">
        <v>1309</v>
      </c>
    </row>
    <row r="1286" spans="2:13" x14ac:dyDescent="0.2">
      <c r="C1286" s="13" t="s">
        <v>1308</v>
      </c>
    </row>
    <row r="1287" spans="2:13" ht="15" x14ac:dyDescent="0.25">
      <c r="C1287" s="13"/>
      <c r="D1287" s="2">
        <v>2000</v>
      </c>
      <c r="E1287" s="2">
        <v>2010</v>
      </c>
      <c r="F1287" s="2">
        <v>2020</v>
      </c>
      <c r="G1287" s="2">
        <v>2030</v>
      </c>
      <c r="H1287" s="2">
        <v>2035</v>
      </c>
      <c r="I1287" s="2">
        <v>2040</v>
      </c>
      <c r="J1287" s="2">
        <v>2050</v>
      </c>
    </row>
    <row r="1288" spans="2:13" x14ac:dyDescent="0.2">
      <c r="C1288" t="s">
        <v>1310</v>
      </c>
      <c r="D1288">
        <v>60.3</v>
      </c>
      <c r="E1288">
        <v>48.4</v>
      </c>
      <c r="F1288">
        <v>42.5</v>
      </c>
      <c r="G1288">
        <v>36.1</v>
      </c>
      <c r="H1288">
        <v>33.700000000000003</v>
      </c>
      <c r="I1288">
        <v>31.7</v>
      </c>
      <c r="J1288">
        <v>28.7</v>
      </c>
    </row>
    <row r="1289" spans="2:13" x14ac:dyDescent="0.2">
      <c r="C1289" t="s">
        <v>1311</v>
      </c>
      <c r="D1289">
        <v>44.5</v>
      </c>
      <c r="E1289">
        <v>30.6</v>
      </c>
      <c r="F1289">
        <v>27.8</v>
      </c>
      <c r="G1289">
        <v>23.7</v>
      </c>
      <c r="H1289">
        <v>22.1</v>
      </c>
      <c r="I1289">
        <v>20.8</v>
      </c>
      <c r="J1289">
        <v>18.8</v>
      </c>
    </row>
    <row r="1290" spans="2:13" x14ac:dyDescent="0.2">
      <c r="C1290" t="s">
        <v>1312</v>
      </c>
      <c r="D1290">
        <v>57.6</v>
      </c>
      <c r="E1290">
        <v>32.299999999999997</v>
      </c>
      <c r="F1290">
        <v>28.4</v>
      </c>
      <c r="G1290">
        <v>24.1</v>
      </c>
      <c r="H1290">
        <v>22.5</v>
      </c>
      <c r="I1290">
        <v>21.1</v>
      </c>
      <c r="J1290">
        <v>19.100000000000001</v>
      </c>
    </row>
    <row r="1291" spans="2:13" x14ac:dyDescent="0.2">
      <c r="C1291" t="s">
        <v>1313</v>
      </c>
      <c r="D1291">
        <v>40.799999999999997</v>
      </c>
      <c r="E1291">
        <v>21.1</v>
      </c>
      <c r="F1291">
        <v>18.600000000000001</v>
      </c>
      <c r="G1291">
        <v>15.8</v>
      </c>
      <c r="H1291">
        <v>14.7</v>
      </c>
      <c r="I1291">
        <v>13.8</v>
      </c>
      <c r="J1291">
        <v>12.5</v>
      </c>
    </row>
    <row r="1292" spans="2:13" x14ac:dyDescent="0.2">
      <c r="C1292" t="s">
        <v>1314</v>
      </c>
      <c r="D1292">
        <v>60.3</v>
      </c>
      <c r="E1292">
        <v>48.4</v>
      </c>
      <c r="F1292">
        <v>27.3</v>
      </c>
      <c r="G1292">
        <v>13</v>
      </c>
      <c r="H1292">
        <v>12.7</v>
      </c>
      <c r="I1292">
        <v>12.5</v>
      </c>
      <c r="J1292">
        <v>12.1</v>
      </c>
    </row>
    <row r="1293" spans="2:13" x14ac:dyDescent="0.2">
      <c r="C1293" t="s">
        <v>1315</v>
      </c>
      <c r="D1293">
        <v>44.5</v>
      </c>
      <c r="E1293">
        <v>30.6</v>
      </c>
      <c r="F1293">
        <v>15.3</v>
      </c>
      <c r="G1293">
        <v>10.199999999999999</v>
      </c>
      <c r="H1293">
        <v>9.9</v>
      </c>
      <c r="I1293">
        <v>9.6999999999999993</v>
      </c>
      <c r="J1293">
        <v>9.4</v>
      </c>
    </row>
    <row r="1294" spans="2:13" x14ac:dyDescent="0.2">
      <c r="C1294" t="s">
        <v>1316</v>
      </c>
      <c r="D1294">
        <v>57.6</v>
      </c>
      <c r="E1294">
        <v>32.299999999999997</v>
      </c>
      <c r="F1294">
        <v>17.100000000000001</v>
      </c>
      <c r="G1294">
        <v>8.6999999999999993</v>
      </c>
      <c r="H1294">
        <v>8.5</v>
      </c>
      <c r="I1294">
        <v>8.3000000000000007</v>
      </c>
      <c r="J1294">
        <v>8.1</v>
      </c>
    </row>
    <row r="1295" spans="2:13" x14ac:dyDescent="0.2">
      <c r="C1295" t="s">
        <v>1317</v>
      </c>
      <c r="D1295">
        <v>40.799999999999997</v>
      </c>
      <c r="E1295">
        <v>21.1</v>
      </c>
      <c r="F1295">
        <v>9.5</v>
      </c>
      <c r="G1295">
        <v>6.8</v>
      </c>
      <c r="H1295">
        <v>6.6</v>
      </c>
      <c r="I1295">
        <v>6.5</v>
      </c>
      <c r="J1295">
        <v>6.3</v>
      </c>
    </row>
    <row r="1296" spans="2:13" x14ac:dyDescent="0.2">
      <c r="C1296" t="s">
        <v>1318</v>
      </c>
      <c r="D1296">
        <v>60.3</v>
      </c>
      <c r="E1296">
        <v>48.4</v>
      </c>
      <c r="F1296">
        <v>32.799999999999997</v>
      </c>
      <c r="G1296">
        <v>22.7</v>
      </c>
      <c r="H1296">
        <v>20</v>
      </c>
      <c r="I1296">
        <v>19.5</v>
      </c>
      <c r="J1296">
        <v>16.8</v>
      </c>
    </row>
    <row r="1297" spans="2:10" x14ac:dyDescent="0.2">
      <c r="C1297" t="s">
        <v>1319</v>
      </c>
      <c r="D1297">
        <v>44.5</v>
      </c>
      <c r="E1297">
        <v>30.6</v>
      </c>
      <c r="F1297">
        <v>19.8</v>
      </c>
      <c r="G1297">
        <v>14.6</v>
      </c>
      <c r="H1297">
        <v>12.7</v>
      </c>
      <c r="I1297">
        <v>12.4</v>
      </c>
      <c r="J1297">
        <v>10.9</v>
      </c>
    </row>
    <row r="1298" spans="2:10" x14ac:dyDescent="0.2">
      <c r="C1298" t="s">
        <v>1320</v>
      </c>
      <c r="D1298">
        <v>57.6</v>
      </c>
      <c r="E1298">
        <v>32.299999999999997</v>
      </c>
      <c r="F1298">
        <v>23</v>
      </c>
      <c r="G1298">
        <v>9.9</v>
      </c>
      <c r="H1298">
        <v>9.3000000000000007</v>
      </c>
      <c r="I1298">
        <v>9.1</v>
      </c>
      <c r="J1298">
        <v>8.3000000000000007</v>
      </c>
    </row>
    <row r="1299" spans="2:10" x14ac:dyDescent="0.2">
      <c r="C1299" t="s">
        <v>1321</v>
      </c>
      <c r="D1299">
        <v>40.799999999999997</v>
      </c>
      <c r="E1299">
        <v>21.1</v>
      </c>
      <c r="F1299">
        <v>14.4</v>
      </c>
      <c r="G1299">
        <v>8.1</v>
      </c>
      <c r="H1299">
        <v>6.7</v>
      </c>
      <c r="I1299">
        <v>6.5</v>
      </c>
      <c r="J1299">
        <v>6</v>
      </c>
    </row>
    <row r="1304" spans="2:10" ht="15" x14ac:dyDescent="0.25">
      <c r="B1304" s="2" t="s">
        <v>693</v>
      </c>
    </row>
    <row r="1305" spans="2:10" ht="15" x14ac:dyDescent="0.25">
      <c r="B1305" s="2"/>
      <c r="C1305" s="13" t="s">
        <v>131</v>
      </c>
    </row>
    <row r="1306" spans="2:10" ht="15" x14ac:dyDescent="0.25">
      <c r="D1306" s="2">
        <v>2000</v>
      </c>
      <c r="E1306" s="2">
        <v>2010</v>
      </c>
      <c r="F1306" s="2">
        <v>2020</v>
      </c>
      <c r="G1306" s="2">
        <v>2030</v>
      </c>
      <c r="H1306" s="2">
        <v>2035</v>
      </c>
      <c r="I1306" s="2">
        <v>2040</v>
      </c>
      <c r="J1306" s="2">
        <v>2050</v>
      </c>
    </row>
    <row r="1307" spans="2:10" x14ac:dyDescent="0.2">
      <c r="C1307" t="s">
        <v>1010</v>
      </c>
      <c r="D1307">
        <v>3.9</v>
      </c>
      <c r="E1307">
        <v>3.4</v>
      </c>
      <c r="F1307">
        <v>1.5</v>
      </c>
      <c r="G1307">
        <v>0.8</v>
      </c>
      <c r="H1307">
        <v>0.7</v>
      </c>
      <c r="I1307">
        <v>0.6</v>
      </c>
      <c r="J1307">
        <v>0.4</v>
      </c>
    </row>
    <row r="1308" spans="2:10" x14ac:dyDescent="0.2">
      <c r="C1308" t="s">
        <v>1011</v>
      </c>
      <c r="D1308">
        <v>305.10000000000002</v>
      </c>
      <c r="E1308">
        <v>236.9</v>
      </c>
      <c r="F1308">
        <v>211</v>
      </c>
      <c r="G1308">
        <v>195.4</v>
      </c>
      <c r="H1308">
        <v>186.5</v>
      </c>
      <c r="I1308">
        <v>177.4</v>
      </c>
      <c r="J1308">
        <v>160.6</v>
      </c>
    </row>
    <row r="1309" spans="2:10" x14ac:dyDescent="0.2">
      <c r="C1309" t="s">
        <v>1012</v>
      </c>
      <c r="D1309">
        <v>290.7</v>
      </c>
      <c r="E1309">
        <v>254</v>
      </c>
      <c r="F1309">
        <v>184.6</v>
      </c>
      <c r="G1309">
        <v>146.9</v>
      </c>
      <c r="H1309">
        <v>135.69999999999999</v>
      </c>
      <c r="I1309">
        <v>125.7</v>
      </c>
      <c r="J1309">
        <v>109.7</v>
      </c>
    </row>
    <row r="1310" spans="2:10" x14ac:dyDescent="0.2">
      <c r="C1310" t="s">
        <v>1019</v>
      </c>
      <c r="D1310">
        <v>383</v>
      </c>
      <c r="E1310">
        <v>322.39999999999998</v>
      </c>
      <c r="F1310">
        <v>229.9</v>
      </c>
      <c r="G1310">
        <v>172.4</v>
      </c>
      <c r="H1310">
        <v>156.9</v>
      </c>
      <c r="I1310">
        <v>145.4</v>
      </c>
      <c r="J1310">
        <v>127.5</v>
      </c>
    </row>
    <row r="1311" spans="2:10" x14ac:dyDescent="0.2">
      <c r="C1311" t="s">
        <v>1013</v>
      </c>
      <c r="D1311">
        <v>441.3</v>
      </c>
      <c r="E1311">
        <v>379.6</v>
      </c>
      <c r="F1311">
        <v>285.7</v>
      </c>
      <c r="G1311">
        <v>194.5</v>
      </c>
      <c r="H1311">
        <v>168.2</v>
      </c>
      <c r="I1311">
        <v>151.5</v>
      </c>
      <c r="J1311">
        <v>129.1</v>
      </c>
    </row>
    <row r="1312" spans="2:10" x14ac:dyDescent="0.2">
      <c r="C1312" t="s">
        <v>1018</v>
      </c>
      <c r="D1312">
        <v>315</v>
      </c>
      <c r="E1312">
        <v>291.8</v>
      </c>
      <c r="F1312">
        <v>242</v>
      </c>
      <c r="G1312">
        <v>197.8</v>
      </c>
      <c r="H1312">
        <v>181.5</v>
      </c>
      <c r="I1312">
        <v>168.3</v>
      </c>
      <c r="J1312">
        <v>147</v>
      </c>
    </row>
    <row r="1313" spans="3:10" x14ac:dyDescent="0.2">
      <c r="C1313" t="s">
        <v>1014</v>
      </c>
      <c r="D1313">
        <v>234</v>
      </c>
      <c r="E1313">
        <v>210</v>
      </c>
      <c r="F1313">
        <v>193.5</v>
      </c>
      <c r="G1313">
        <v>173.1</v>
      </c>
      <c r="H1313">
        <v>164</v>
      </c>
      <c r="I1313">
        <v>155.80000000000001</v>
      </c>
      <c r="J1313">
        <v>141.1</v>
      </c>
    </row>
    <row r="1314" spans="3:10" x14ac:dyDescent="0.2">
      <c r="C1314" t="s">
        <v>1015</v>
      </c>
      <c r="D1314">
        <v>611.5</v>
      </c>
      <c r="E1314">
        <v>556.5</v>
      </c>
      <c r="F1314">
        <v>381.9</v>
      </c>
      <c r="G1314">
        <v>337.1</v>
      </c>
      <c r="H1314">
        <v>321.2</v>
      </c>
      <c r="I1314">
        <v>305.89999999999998</v>
      </c>
      <c r="J1314">
        <v>279.5</v>
      </c>
    </row>
    <row r="1315" spans="3:10" x14ac:dyDescent="0.2">
      <c r="C1315" t="s">
        <v>1016</v>
      </c>
      <c r="D1315">
        <v>353.1</v>
      </c>
      <c r="E1315">
        <v>314.2</v>
      </c>
      <c r="F1315">
        <v>218.8</v>
      </c>
      <c r="G1315">
        <v>154.1</v>
      </c>
      <c r="H1315">
        <v>145.6</v>
      </c>
      <c r="I1315">
        <v>139.5</v>
      </c>
      <c r="J1315">
        <v>127.6</v>
      </c>
    </row>
    <row r="1316" spans="3:10" x14ac:dyDescent="0.2">
      <c r="C1316" t="s">
        <v>686</v>
      </c>
      <c r="D1316">
        <v>152.1</v>
      </c>
      <c r="E1316">
        <v>169.5</v>
      </c>
      <c r="F1316">
        <v>128.4</v>
      </c>
      <c r="G1316">
        <v>114.7</v>
      </c>
      <c r="H1316">
        <v>104.2</v>
      </c>
      <c r="I1316">
        <v>96.7</v>
      </c>
      <c r="J1316">
        <v>87.5</v>
      </c>
    </row>
    <row r="1317" spans="3:10" x14ac:dyDescent="0.2">
      <c r="C1317" t="s">
        <v>13</v>
      </c>
      <c r="D1317">
        <v>55.4</v>
      </c>
      <c r="E1317">
        <v>25.5</v>
      </c>
      <c r="F1317">
        <v>12.3</v>
      </c>
      <c r="G1317">
        <v>10.7</v>
      </c>
      <c r="H1317">
        <v>9.8000000000000007</v>
      </c>
      <c r="I1317">
        <v>8.8000000000000007</v>
      </c>
      <c r="J1317">
        <v>6.9</v>
      </c>
    </row>
    <row r="1318" spans="3:10" x14ac:dyDescent="0.2">
      <c r="C1318" t="s">
        <v>14</v>
      </c>
      <c r="D1318">
        <v>236.2</v>
      </c>
      <c r="E1318">
        <v>77.400000000000006</v>
      </c>
      <c r="F1318">
        <v>54.9</v>
      </c>
      <c r="G1318">
        <v>50.8</v>
      </c>
      <c r="H1318">
        <v>49.3</v>
      </c>
      <c r="I1318">
        <v>47.8</v>
      </c>
      <c r="J1318">
        <v>45.2</v>
      </c>
    </row>
    <row r="1319" spans="3:10" x14ac:dyDescent="0.2">
      <c r="C1319" t="s">
        <v>1017</v>
      </c>
      <c r="D1319">
        <v>6.1</v>
      </c>
      <c r="E1319">
        <v>5.3</v>
      </c>
      <c r="F1319">
        <v>6.9</v>
      </c>
      <c r="G1319">
        <v>3.9</v>
      </c>
      <c r="H1319">
        <v>3.6</v>
      </c>
      <c r="I1319">
        <v>3.2</v>
      </c>
      <c r="J1319">
        <v>2.8</v>
      </c>
    </row>
    <row r="1321" spans="3:10" ht="15" x14ac:dyDescent="0.25">
      <c r="D1321" s="2">
        <f>D1306</f>
        <v>2000</v>
      </c>
      <c r="E1321" s="2">
        <f>E1306</f>
        <v>2010</v>
      </c>
      <c r="F1321" s="2">
        <f t="shared" ref="F1321:G1321" si="805">F1306</f>
        <v>2020</v>
      </c>
      <c r="G1321" s="2">
        <f t="shared" si="805"/>
        <v>2030</v>
      </c>
      <c r="H1321" s="2">
        <f>I1306</f>
        <v>2040</v>
      </c>
      <c r="I1321" s="2">
        <f>J1306</f>
        <v>2050</v>
      </c>
    </row>
    <row r="1322" spans="3:10" x14ac:dyDescent="0.2">
      <c r="C1322" t="str">
        <f>C1307</f>
        <v>Light (kWh/m2)</v>
      </c>
      <c r="D1322">
        <f>D1307/$E1307-1</f>
        <v>0.14705882352941169</v>
      </c>
      <c r="E1322">
        <f>E1307/$E1307-1</f>
        <v>0</v>
      </c>
      <c r="F1322" s="1">
        <f>F1307/$E1307-1</f>
        <v>-0.55882352941176472</v>
      </c>
      <c r="G1322" s="1">
        <f>G1307/$E1307-1</f>
        <v>-0.76470588235294112</v>
      </c>
      <c r="H1322" s="1">
        <f>I1307/$E1307-1</f>
        <v>-0.82352941176470584</v>
      </c>
      <c r="I1322" s="1">
        <f>J1307/$E1307-1</f>
        <v>-0.88235294117647056</v>
      </c>
    </row>
    <row r="1323" spans="3:10" x14ac:dyDescent="0.2">
      <c r="C1323" t="str">
        <f t="shared" ref="C1323:C1331" si="806">C1308</f>
        <v>Dishwasher</v>
      </c>
      <c r="D1323">
        <f t="shared" ref="D1323:G1331" si="807">D1308/$E1308-1</f>
        <v>0.2878851836217815</v>
      </c>
      <c r="E1323">
        <f t="shared" si="807"/>
        <v>0</v>
      </c>
      <c r="F1323" s="1">
        <f t="shared" si="807"/>
        <v>-0.109328830730266</v>
      </c>
      <c r="G1323" s="1">
        <f t="shared" si="807"/>
        <v>-0.17517940059096659</v>
      </c>
      <c r="H1323" s="1">
        <f t="shared" ref="H1323:I1323" si="808">I1308/$E1308-1</f>
        <v>-0.25116082735331358</v>
      </c>
      <c r="I1323" s="1">
        <f t="shared" si="808"/>
        <v>-0.32207682566483753</v>
      </c>
    </row>
    <row r="1324" spans="3:10" x14ac:dyDescent="0.2">
      <c r="C1324" t="str">
        <f t="shared" si="806"/>
        <v>Fridge</v>
      </c>
      <c r="D1324">
        <f t="shared" si="807"/>
        <v>0.14448818897637783</v>
      </c>
      <c r="E1324">
        <f t="shared" si="807"/>
        <v>0</v>
      </c>
      <c r="F1324" s="1">
        <f t="shared" si="807"/>
        <v>-0.27322834645669292</v>
      </c>
      <c r="G1324" s="1">
        <f t="shared" si="807"/>
        <v>-0.4216535433070866</v>
      </c>
      <c r="H1324" s="1">
        <f t="shared" ref="H1324:I1324" si="809">I1309/$E1309-1</f>
        <v>-0.50511811023622044</v>
      </c>
      <c r="I1324" s="1">
        <f t="shared" si="809"/>
        <v>-0.56811023622047241</v>
      </c>
    </row>
    <row r="1325" spans="3:10" x14ac:dyDescent="0.2">
      <c r="C1325" t="str">
        <f t="shared" si="806"/>
        <v>Freezer-fridge</v>
      </c>
      <c r="D1325">
        <f t="shared" si="807"/>
        <v>0.1879652605459059</v>
      </c>
      <c r="E1325">
        <f t="shared" si="807"/>
        <v>0</v>
      </c>
      <c r="F1325" s="1">
        <f t="shared" si="807"/>
        <v>-0.28691066997518599</v>
      </c>
      <c r="G1325" s="1">
        <f t="shared" si="807"/>
        <v>-0.46526054590570709</v>
      </c>
      <c r="H1325" s="1">
        <f t="shared" ref="H1325:I1325" si="810">I1310/$E1310-1</f>
        <v>-0.54900744416873448</v>
      </c>
      <c r="I1325" s="1">
        <f t="shared" si="810"/>
        <v>-0.60452853598014888</v>
      </c>
    </row>
    <row r="1326" spans="3:10" x14ac:dyDescent="0.2">
      <c r="C1326" t="str">
        <f t="shared" si="806"/>
        <v>Freezer</v>
      </c>
      <c r="D1326">
        <f t="shared" si="807"/>
        <v>0.16253951527924126</v>
      </c>
      <c r="E1326">
        <f t="shared" si="807"/>
        <v>0</v>
      </c>
      <c r="F1326" s="1">
        <f t="shared" si="807"/>
        <v>-0.24736564805057959</v>
      </c>
      <c r="G1326" s="1">
        <f t="shared" si="807"/>
        <v>-0.4876185458377239</v>
      </c>
      <c r="H1326" s="1">
        <f t="shared" ref="H1326:I1326" si="811">I1311/$E1311-1</f>
        <v>-0.600895679662803</v>
      </c>
      <c r="I1326" s="1">
        <f t="shared" si="811"/>
        <v>-0.65990516332982097</v>
      </c>
    </row>
    <row r="1327" spans="3:10" x14ac:dyDescent="0.2">
      <c r="C1327" t="str">
        <f t="shared" si="806"/>
        <v>Freezer upright</v>
      </c>
      <c r="D1327">
        <f t="shared" si="807"/>
        <v>7.950651130911579E-2</v>
      </c>
      <c r="E1327">
        <f t="shared" si="807"/>
        <v>0</v>
      </c>
      <c r="F1327" s="1">
        <f t="shared" si="807"/>
        <v>-0.17066483893077455</v>
      </c>
      <c r="G1327" s="1">
        <f t="shared" si="807"/>
        <v>-0.32213845099383143</v>
      </c>
      <c r="H1327" s="1">
        <f t="shared" ref="H1327:I1327" si="812">I1312/$E1312-1</f>
        <v>-0.4232350925291295</v>
      </c>
      <c r="I1327" s="1">
        <f t="shared" si="812"/>
        <v>-0.49623029472241265</v>
      </c>
    </row>
    <row r="1328" spans="3:10" x14ac:dyDescent="0.2">
      <c r="C1328" t="str">
        <f t="shared" si="806"/>
        <v>Washing machine</v>
      </c>
      <c r="D1328">
        <f t="shared" si="807"/>
        <v>0.11428571428571432</v>
      </c>
      <c r="E1328">
        <f t="shared" si="807"/>
        <v>0</v>
      </c>
      <c r="F1328" s="1">
        <f t="shared" si="807"/>
        <v>-7.8571428571428625E-2</v>
      </c>
      <c r="G1328" s="1">
        <f t="shared" si="807"/>
        <v>-0.17571428571428571</v>
      </c>
      <c r="H1328" s="1">
        <f t="shared" ref="H1328:I1328" si="813">I1313/$E1313-1</f>
        <v>-0.25809523809523804</v>
      </c>
      <c r="I1328" s="1">
        <f t="shared" si="813"/>
        <v>-0.32809523809523811</v>
      </c>
    </row>
    <row r="1329" spans="2:10" x14ac:dyDescent="0.2">
      <c r="C1329" t="str">
        <f t="shared" si="806"/>
        <v>Washer-dryer</v>
      </c>
      <c r="D1329">
        <f t="shared" si="807"/>
        <v>9.8831985624438401E-2</v>
      </c>
      <c r="E1329">
        <f t="shared" si="807"/>
        <v>0</v>
      </c>
      <c r="F1329" s="1">
        <f t="shared" si="807"/>
        <v>-0.31374663072776288</v>
      </c>
      <c r="G1329" s="1">
        <f t="shared" si="807"/>
        <v>-0.3942497753818508</v>
      </c>
      <c r="H1329" s="1">
        <f t="shared" ref="H1329:I1329" si="814">I1314/$E1314-1</f>
        <v>-0.45031446540880504</v>
      </c>
      <c r="I1329" s="1">
        <f t="shared" si="814"/>
        <v>-0.49775381850853551</v>
      </c>
    </row>
    <row r="1330" spans="2:10" x14ac:dyDescent="0.2">
      <c r="C1330" t="str">
        <f t="shared" si="806"/>
        <v>Dryer</v>
      </c>
      <c r="D1330">
        <f t="shared" si="807"/>
        <v>0.12380649267982191</v>
      </c>
      <c r="E1330">
        <f t="shared" si="807"/>
        <v>0</v>
      </c>
      <c r="F1330" s="1">
        <f t="shared" si="807"/>
        <v>-0.30362826225334172</v>
      </c>
      <c r="G1330" s="1">
        <f t="shared" si="807"/>
        <v>-0.50954805856142582</v>
      </c>
      <c r="H1330" s="1">
        <f t="shared" ref="H1330:I1330" si="815">I1315/$E1315-1</f>
        <v>-0.55601527689369834</v>
      </c>
      <c r="I1330" s="1">
        <f t="shared" si="815"/>
        <v>-0.59388924252068742</v>
      </c>
    </row>
    <row r="1331" spans="2:10" x14ac:dyDescent="0.2">
      <c r="C1331" t="str">
        <f t="shared" si="806"/>
        <v>TV</v>
      </c>
      <c r="D1331">
        <f t="shared" si="807"/>
        <v>-0.10265486725663719</v>
      </c>
      <c r="E1331">
        <f t="shared" si="807"/>
        <v>0</v>
      </c>
      <c r="F1331" s="1">
        <f t="shared" si="807"/>
        <v>-0.24247787610619465</v>
      </c>
      <c r="G1331" s="1">
        <f t="shared" si="807"/>
        <v>-0.32330383480825953</v>
      </c>
      <c r="H1331" s="1">
        <f t="shared" ref="H1331:I1331" si="816">I1316/$E1316-1</f>
        <v>-0.42949852507374631</v>
      </c>
      <c r="I1331" s="1">
        <f t="shared" si="816"/>
        <v>-0.48377581120943958</v>
      </c>
    </row>
    <row r="1332" spans="2:10" x14ac:dyDescent="0.2">
      <c r="C1332" t="str">
        <f>C1318</f>
        <v>Computer</v>
      </c>
      <c r="E1332">
        <f t="shared" ref="E1332:G1333" si="817">E1318/$E1318-1</f>
        <v>0</v>
      </c>
      <c r="F1332" s="1">
        <f t="shared" si="817"/>
        <v>-0.29069767441860472</v>
      </c>
      <c r="G1332" s="1">
        <f t="shared" si="817"/>
        <v>-0.34366925064599496</v>
      </c>
      <c r="H1332" s="1">
        <f>I1318/$E1318-1</f>
        <v>-0.38242894056847554</v>
      </c>
      <c r="I1332" s="1">
        <f>J1318/$E1318-1</f>
        <v>-0.41602067183462532</v>
      </c>
    </row>
    <row r="1333" spans="2:10" x14ac:dyDescent="0.2">
      <c r="C1333" t="str">
        <f>C1319</f>
        <v>Mobile phone</v>
      </c>
      <c r="D1333">
        <f>D1319/$E1319-1</f>
        <v>0.15094339622641506</v>
      </c>
      <c r="E1333">
        <f t="shared" si="817"/>
        <v>0</v>
      </c>
      <c r="F1333" s="1">
        <f t="shared" si="817"/>
        <v>0.30188679245283034</v>
      </c>
      <c r="G1333" s="1">
        <f t="shared" si="817"/>
        <v>-0.26415094339622636</v>
      </c>
      <c r="H1333" s="1">
        <f>I1319/$E1319-1</f>
        <v>-0.39622641509433953</v>
      </c>
      <c r="I1333" s="1">
        <f>J1319/$E1319-1</f>
        <v>-0.47169811320754718</v>
      </c>
    </row>
    <row r="1335" spans="2:10" ht="15" x14ac:dyDescent="0.25">
      <c r="B1335" s="2" t="s">
        <v>695</v>
      </c>
    </row>
    <row r="1336" spans="2:10" ht="15" x14ac:dyDescent="0.25">
      <c r="B1336" s="2"/>
      <c r="C1336" s="13" t="s">
        <v>131</v>
      </c>
    </row>
    <row r="1337" spans="2:10" ht="15" x14ac:dyDescent="0.25">
      <c r="D1337" s="2">
        <v>2000</v>
      </c>
      <c r="E1337" s="2">
        <v>2010</v>
      </c>
      <c r="F1337" s="2">
        <v>2020</v>
      </c>
      <c r="G1337" s="2">
        <v>2030</v>
      </c>
      <c r="H1337" s="2">
        <v>2035</v>
      </c>
      <c r="I1337" s="2">
        <v>2040</v>
      </c>
      <c r="J1337" s="2">
        <v>2050</v>
      </c>
    </row>
    <row r="1338" spans="2:10" x14ac:dyDescent="0.2">
      <c r="C1338" t="str">
        <f>C1322</f>
        <v>Light (kWh/m2)</v>
      </c>
      <c r="D1338">
        <v>3.9</v>
      </c>
      <c r="E1338">
        <v>3.4</v>
      </c>
      <c r="F1338">
        <v>1.5</v>
      </c>
      <c r="G1338">
        <v>0.8</v>
      </c>
      <c r="H1338">
        <v>0.6</v>
      </c>
      <c r="I1338">
        <v>0.5</v>
      </c>
      <c r="J1338">
        <v>0.4</v>
      </c>
    </row>
    <row r="1339" spans="2:10" x14ac:dyDescent="0.2">
      <c r="C1339" t="s">
        <v>15</v>
      </c>
      <c r="D1339">
        <v>305.10000000000002</v>
      </c>
      <c r="E1339">
        <v>236.9</v>
      </c>
      <c r="F1339">
        <v>209.6</v>
      </c>
      <c r="G1339">
        <v>187.5</v>
      </c>
      <c r="H1339">
        <v>177.4</v>
      </c>
      <c r="I1339">
        <v>168</v>
      </c>
      <c r="J1339">
        <v>150.30000000000001</v>
      </c>
    </row>
    <row r="1340" spans="2:10" x14ac:dyDescent="0.2">
      <c r="C1340" t="s">
        <v>10</v>
      </c>
      <c r="D1340">
        <v>290.7</v>
      </c>
      <c r="E1340">
        <v>254</v>
      </c>
      <c r="F1340">
        <v>182.7</v>
      </c>
      <c r="G1340">
        <v>140</v>
      </c>
      <c r="H1340">
        <v>127.8</v>
      </c>
      <c r="I1340">
        <v>117.5</v>
      </c>
      <c r="J1340">
        <v>100.2</v>
      </c>
    </row>
    <row r="1341" spans="2:10" x14ac:dyDescent="0.2">
      <c r="C1341" t="s">
        <v>992</v>
      </c>
      <c r="D1341">
        <v>383</v>
      </c>
      <c r="E1341">
        <v>322.39999999999998</v>
      </c>
      <c r="F1341">
        <v>227.9</v>
      </c>
      <c r="G1341">
        <v>165.4</v>
      </c>
      <c r="H1341">
        <v>148.30000000000001</v>
      </c>
      <c r="I1341">
        <v>136.30000000000001</v>
      </c>
      <c r="J1341">
        <v>117.8</v>
      </c>
    </row>
    <row r="1342" spans="2:10" x14ac:dyDescent="0.2">
      <c r="C1342" t="s">
        <v>16</v>
      </c>
      <c r="D1342">
        <v>441.3</v>
      </c>
      <c r="E1342">
        <v>379.6</v>
      </c>
      <c r="F1342">
        <v>284.60000000000002</v>
      </c>
      <c r="G1342">
        <v>189.9</v>
      </c>
      <c r="H1342">
        <v>161.9</v>
      </c>
      <c r="I1342">
        <v>144.1</v>
      </c>
      <c r="J1342">
        <v>120.8</v>
      </c>
    </row>
    <row r="1343" spans="2:10" x14ac:dyDescent="0.2">
      <c r="C1343" t="s">
        <v>17</v>
      </c>
      <c r="D1343">
        <v>315</v>
      </c>
      <c r="E1343">
        <v>291.8</v>
      </c>
      <c r="F1343">
        <v>240.1</v>
      </c>
      <c r="G1343">
        <v>191.4</v>
      </c>
      <c r="H1343">
        <v>173.5</v>
      </c>
      <c r="I1343">
        <v>159.5</v>
      </c>
      <c r="J1343">
        <v>137.19999999999999</v>
      </c>
    </row>
    <row r="1344" spans="2:10" x14ac:dyDescent="0.2">
      <c r="C1344" t="s">
        <v>11</v>
      </c>
      <c r="D1344">
        <v>234</v>
      </c>
      <c r="E1344">
        <v>210</v>
      </c>
      <c r="F1344">
        <v>190</v>
      </c>
      <c r="G1344">
        <v>165</v>
      </c>
      <c r="H1344">
        <v>155.19999999999999</v>
      </c>
      <c r="I1344">
        <v>146.1</v>
      </c>
      <c r="J1344">
        <v>129.5</v>
      </c>
    </row>
    <row r="1345" spans="3:10" x14ac:dyDescent="0.2">
      <c r="C1345" t="s">
        <v>12</v>
      </c>
      <c r="D1345">
        <v>611.5</v>
      </c>
      <c r="E1345">
        <v>556.5</v>
      </c>
      <c r="F1345">
        <v>374.2</v>
      </c>
      <c r="G1345">
        <v>322.89999999999998</v>
      </c>
      <c r="H1345">
        <v>305.8</v>
      </c>
      <c r="I1345">
        <v>289.2</v>
      </c>
      <c r="J1345">
        <v>258.8</v>
      </c>
    </row>
    <row r="1346" spans="3:10" x14ac:dyDescent="0.2">
      <c r="C1346" t="s">
        <v>18</v>
      </c>
      <c r="D1346">
        <v>353.1</v>
      </c>
      <c r="E1346">
        <v>314.2</v>
      </c>
      <c r="F1346">
        <v>217.4</v>
      </c>
      <c r="G1346">
        <v>149.5</v>
      </c>
      <c r="H1346">
        <v>140.19999999999999</v>
      </c>
      <c r="I1346">
        <v>133.69999999999999</v>
      </c>
      <c r="J1346">
        <v>120.4</v>
      </c>
    </row>
    <row r="1347" spans="3:10" x14ac:dyDescent="0.2">
      <c r="C1347" t="s">
        <v>686</v>
      </c>
      <c r="D1347">
        <v>152.1</v>
      </c>
      <c r="E1347">
        <v>169.5</v>
      </c>
      <c r="F1347">
        <v>128.4</v>
      </c>
      <c r="G1347">
        <v>109.8</v>
      </c>
      <c r="H1347">
        <v>99.2</v>
      </c>
      <c r="I1347">
        <v>92</v>
      </c>
      <c r="J1347">
        <v>83.7</v>
      </c>
    </row>
    <row r="1348" spans="3:10" x14ac:dyDescent="0.2">
      <c r="C1348" t="s">
        <v>13</v>
      </c>
      <c r="D1348">
        <v>55.4</v>
      </c>
      <c r="E1348">
        <v>25.5</v>
      </c>
      <c r="F1348">
        <v>12.3</v>
      </c>
      <c r="G1348">
        <v>10.7</v>
      </c>
      <c r="H1348">
        <v>9.8000000000000007</v>
      </c>
      <c r="I1348">
        <v>8.8000000000000007</v>
      </c>
      <c r="J1348">
        <v>6.9</v>
      </c>
    </row>
    <row r="1349" spans="3:10" x14ac:dyDescent="0.2">
      <c r="C1349" t="s">
        <v>14</v>
      </c>
      <c r="D1349">
        <v>236.2</v>
      </c>
      <c r="E1349">
        <v>77.400000000000006</v>
      </c>
      <c r="F1349">
        <v>53.8</v>
      </c>
      <c r="G1349">
        <v>49.5</v>
      </c>
      <c r="H1349">
        <v>47.8</v>
      </c>
      <c r="I1349">
        <v>46.2</v>
      </c>
      <c r="J1349">
        <v>44.4</v>
      </c>
    </row>
    <row r="1350" spans="3:10" x14ac:dyDescent="0.2">
      <c r="C1350" t="s">
        <v>19</v>
      </c>
      <c r="D1350">
        <v>6.1</v>
      </c>
      <c r="E1350">
        <v>5.3</v>
      </c>
      <c r="F1350">
        <v>6.8</v>
      </c>
      <c r="G1350">
        <v>3.6</v>
      </c>
      <c r="H1350">
        <v>3.3</v>
      </c>
      <c r="I1350">
        <v>2.9</v>
      </c>
      <c r="J1350">
        <v>2.2999999999999998</v>
      </c>
    </row>
    <row r="1352" spans="3:10" ht="15" x14ac:dyDescent="0.25">
      <c r="D1352" s="2">
        <f>D1337</f>
        <v>2000</v>
      </c>
      <c r="E1352" s="2">
        <f>E1337</f>
        <v>2010</v>
      </c>
      <c r="F1352" s="2">
        <f t="shared" ref="F1352:G1352" si="818">F1337</f>
        <v>2020</v>
      </c>
      <c r="G1352" s="2">
        <f t="shared" si="818"/>
        <v>2030</v>
      </c>
      <c r="H1352" s="2">
        <f>I1337</f>
        <v>2040</v>
      </c>
      <c r="I1352" s="2">
        <f>J1337</f>
        <v>2050</v>
      </c>
    </row>
    <row r="1353" spans="3:10" x14ac:dyDescent="0.2">
      <c r="C1353" t="str">
        <f>C1322</f>
        <v>Light (kWh/m2)</v>
      </c>
      <c r="D1353">
        <f>D1338/$E1338-1</f>
        <v>0.14705882352941169</v>
      </c>
      <c r="E1353">
        <f t="shared" ref="E1353:F1353" si="819">E1338/$E1338-1</f>
        <v>0</v>
      </c>
      <c r="F1353">
        <f t="shared" si="819"/>
        <v>-0.55882352941176472</v>
      </c>
      <c r="G1353">
        <f>G1338/$E1338-1</f>
        <v>-0.76470588235294112</v>
      </c>
      <c r="H1353">
        <f>I1338/$E1338-1</f>
        <v>-0.8529411764705882</v>
      </c>
      <c r="I1353">
        <f>J1338/$E1338-1</f>
        <v>-0.88235294117647056</v>
      </c>
    </row>
    <row r="1354" spans="3:10" x14ac:dyDescent="0.2">
      <c r="C1354" t="str">
        <f t="shared" ref="C1354:C1364" si="820">C1323</f>
        <v>Dishwasher</v>
      </c>
      <c r="D1354">
        <f t="shared" ref="D1354:D1362" si="821">D1339/$E1339-1</f>
        <v>0.2878851836217815</v>
      </c>
      <c r="E1354">
        <f t="shared" ref="E1354:G1362" si="822">E1339/$E1339-1</f>
        <v>0</v>
      </c>
      <c r="F1354">
        <f t="shared" si="822"/>
        <v>-0.11523849725622626</v>
      </c>
      <c r="G1354">
        <f t="shared" si="822"/>
        <v>-0.20852680455888561</v>
      </c>
      <c r="H1354">
        <f t="shared" ref="H1354:I1361" si="823">I1339/$E1339-1</f>
        <v>-0.29084001688476147</v>
      </c>
      <c r="I1354">
        <f t="shared" si="823"/>
        <v>-0.36555508653440272</v>
      </c>
    </row>
    <row r="1355" spans="3:10" x14ac:dyDescent="0.2">
      <c r="C1355" t="str">
        <f t="shared" si="820"/>
        <v>Fridge</v>
      </c>
      <c r="D1355">
        <f t="shared" si="821"/>
        <v>0.14448818897637783</v>
      </c>
      <c r="E1355">
        <f t="shared" si="822"/>
        <v>0</v>
      </c>
      <c r="F1355">
        <f t="shared" si="822"/>
        <v>-0.28070866141732287</v>
      </c>
      <c r="G1355">
        <f t="shared" si="822"/>
        <v>-0.44881889763779526</v>
      </c>
      <c r="H1355">
        <f t="shared" si="823"/>
        <v>-0.53740157480314954</v>
      </c>
      <c r="I1355">
        <f t="shared" si="823"/>
        <v>-0.60551181102362206</v>
      </c>
    </row>
    <row r="1356" spans="3:10" x14ac:dyDescent="0.2">
      <c r="C1356" t="str">
        <f t="shared" si="820"/>
        <v>Freezer-fridge</v>
      </c>
      <c r="D1356">
        <f t="shared" si="821"/>
        <v>0.1879652605459059</v>
      </c>
      <c r="E1356">
        <f t="shared" si="822"/>
        <v>0</v>
      </c>
      <c r="F1356">
        <f t="shared" si="822"/>
        <v>-0.29311414392059543</v>
      </c>
      <c r="G1356">
        <f t="shared" si="822"/>
        <v>-0.48697270471464016</v>
      </c>
      <c r="H1356">
        <f t="shared" si="823"/>
        <v>-0.57723325062034725</v>
      </c>
      <c r="I1356">
        <f t="shared" si="823"/>
        <v>-0.63461538461538458</v>
      </c>
    </row>
    <row r="1357" spans="3:10" x14ac:dyDescent="0.2">
      <c r="C1357" t="str">
        <f t="shared" si="820"/>
        <v>Freezer</v>
      </c>
      <c r="D1357">
        <f t="shared" si="821"/>
        <v>0.16253951527924126</v>
      </c>
      <c r="E1357">
        <f t="shared" si="822"/>
        <v>0</v>
      </c>
      <c r="F1357">
        <f t="shared" si="822"/>
        <v>-0.25026343519494199</v>
      </c>
      <c r="G1357">
        <f t="shared" si="822"/>
        <v>-0.49973656480505801</v>
      </c>
      <c r="H1357">
        <f t="shared" si="823"/>
        <v>-0.62038988408851425</v>
      </c>
      <c r="I1357">
        <f t="shared" si="823"/>
        <v>-0.68177028451001054</v>
      </c>
    </row>
    <row r="1358" spans="3:10" x14ac:dyDescent="0.2">
      <c r="C1358" t="str">
        <f t="shared" si="820"/>
        <v>Freezer upright</v>
      </c>
      <c r="D1358">
        <f t="shared" si="821"/>
        <v>7.950651130911579E-2</v>
      </c>
      <c r="E1358">
        <f t="shared" si="822"/>
        <v>0</v>
      </c>
      <c r="F1358">
        <f t="shared" si="822"/>
        <v>-0.17717614804660731</v>
      </c>
      <c r="G1358">
        <f t="shared" si="822"/>
        <v>-0.3440712816997944</v>
      </c>
      <c r="H1358">
        <f t="shared" si="823"/>
        <v>-0.45339273474982866</v>
      </c>
      <c r="I1358">
        <f t="shared" si="823"/>
        <v>-0.52981494174091848</v>
      </c>
    </row>
    <row r="1359" spans="3:10" x14ac:dyDescent="0.2">
      <c r="C1359" t="str">
        <f t="shared" si="820"/>
        <v>Washing machine</v>
      </c>
      <c r="D1359">
        <f t="shared" si="821"/>
        <v>0.11428571428571432</v>
      </c>
      <c r="E1359">
        <f t="shared" si="822"/>
        <v>0</v>
      </c>
      <c r="F1359">
        <f t="shared" si="822"/>
        <v>-9.5238095238095233E-2</v>
      </c>
      <c r="G1359">
        <f t="shared" si="822"/>
        <v>-0.2142857142857143</v>
      </c>
      <c r="H1359">
        <f t="shared" si="823"/>
        <v>-0.30428571428571427</v>
      </c>
      <c r="I1359">
        <f t="shared" si="823"/>
        <v>-0.3833333333333333</v>
      </c>
    </row>
    <row r="1360" spans="3:10" x14ac:dyDescent="0.2">
      <c r="C1360" t="str">
        <f t="shared" si="820"/>
        <v>Washer-dryer</v>
      </c>
      <c r="D1360">
        <f t="shared" si="821"/>
        <v>9.8831985624438401E-2</v>
      </c>
      <c r="E1360">
        <f t="shared" si="822"/>
        <v>0</v>
      </c>
      <c r="F1360">
        <f t="shared" si="822"/>
        <v>-0.32758310871518426</v>
      </c>
      <c r="G1360">
        <f t="shared" si="822"/>
        <v>-0.41976639712488772</v>
      </c>
      <c r="H1360">
        <f t="shared" si="823"/>
        <v>-0.48032345013477096</v>
      </c>
      <c r="I1360">
        <f t="shared" si="823"/>
        <v>-0.53495058400718776</v>
      </c>
    </row>
    <row r="1361" spans="2:13" x14ac:dyDescent="0.2">
      <c r="C1361" t="str">
        <f t="shared" si="820"/>
        <v>Dryer</v>
      </c>
      <c r="D1361">
        <f t="shared" si="821"/>
        <v>0.12380649267982191</v>
      </c>
      <c r="E1361">
        <f t="shared" si="822"/>
        <v>0</v>
      </c>
      <c r="F1361">
        <f t="shared" si="822"/>
        <v>-0.30808402291534054</v>
      </c>
      <c r="G1361">
        <f t="shared" si="822"/>
        <v>-0.52418841502227886</v>
      </c>
      <c r="H1361">
        <f t="shared" si="823"/>
        <v>-0.57447485677912158</v>
      </c>
      <c r="I1361">
        <f t="shared" si="823"/>
        <v>-0.61680458306810948</v>
      </c>
    </row>
    <row r="1362" spans="2:13" x14ac:dyDescent="0.2">
      <c r="C1362" t="str">
        <f t="shared" si="820"/>
        <v>TV</v>
      </c>
      <c r="D1362">
        <f t="shared" si="821"/>
        <v>-0.10265486725663719</v>
      </c>
      <c r="E1362">
        <f t="shared" si="822"/>
        <v>0</v>
      </c>
      <c r="F1362">
        <f t="shared" si="822"/>
        <v>-0.24247787610619465</v>
      </c>
      <c r="G1362">
        <f t="shared" si="822"/>
        <v>-0.35221238938053101</v>
      </c>
      <c r="H1362">
        <f>I1347/$E1347-1</f>
        <v>-0.45722713864306785</v>
      </c>
      <c r="I1362">
        <f t="shared" ref="I1362" si="824">J1347/$E1347-1</f>
        <v>-0.50619469026548669</v>
      </c>
    </row>
    <row r="1363" spans="2:13" x14ac:dyDescent="0.2">
      <c r="C1363" t="str">
        <f t="shared" si="820"/>
        <v>Computer</v>
      </c>
      <c r="E1363">
        <f>E1349/$E1349-1</f>
        <v>0</v>
      </c>
      <c r="F1363">
        <f>F1349/$E1349-1</f>
        <v>-0.30490956072351427</v>
      </c>
      <c r="G1363">
        <f>G1349/$E1349-1</f>
        <v>-0.36046511627906985</v>
      </c>
      <c r="H1363">
        <f>I1349/$E1349-1</f>
        <v>-0.4031007751937985</v>
      </c>
      <c r="I1363">
        <f>J1349/$E1349-1</f>
        <v>-0.42635658914728691</v>
      </c>
    </row>
    <row r="1364" spans="2:13" x14ac:dyDescent="0.2">
      <c r="C1364" t="str">
        <f t="shared" si="820"/>
        <v>Mobile phone</v>
      </c>
      <c r="D1364">
        <f>D1350/$E1350-1</f>
        <v>0.15094339622641506</v>
      </c>
      <c r="E1364">
        <f t="shared" ref="E1364:G1364" si="825">E1350/$E1350-1</f>
        <v>0</v>
      </c>
      <c r="F1364">
        <f t="shared" si="825"/>
        <v>0.28301886792452824</v>
      </c>
      <c r="G1364">
        <f t="shared" si="825"/>
        <v>-0.320754716981132</v>
      </c>
      <c r="H1364">
        <f>I1350/$E1350-1</f>
        <v>-0.45283018867924529</v>
      </c>
      <c r="I1364">
        <f>J1350/$E1350-1</f>
        <v>-0.5660377358490567</v>
      </c>
    </row>
    <row r="1366" spans="2:13" ht="15" x14ac:dyDescent="0.25">
      <c r="B1366" s="2" t="s">
        <v>690</v>
      </c>
    </row>
    <row r="1367" spans="2:13" ht="15" x14ac:dyDescent="0.25">
      <c r="C1367" s="13" t="s">
        <v>710</v>
      </c>
      <c r="F1367" s="2">
        <v>2015</v>
      </c>
      <c r="G1367" s="2">
        <v>2020</v>
      </c>
      <c r="H1367" s="2">
        <v>2025</v>
      </c>
      <c r="I1367" s="2">
        <v>2030</v>
      </c>
      <c r="J1367" s="2">
        <v>2035</v>
      </c>
      <c r="K1367" s="2">
        <v>2040</v>
      </c>
      <c r="L1367" s="2">
        <v>2045</v>
      </c>
      <c r="M1367" s="2">
        <v>2050</v>
      </c>
    </row>
    <row r="1368" spans="2:13" x14ac:dyDescent="0.2">
      <c r="C1368" t="s">
        <v>692</v>
      </c>
      <c r="F1368" t="s">
        <v>3</v>
      </c>
      <c r="G1368" t="s">
        <v>3</v>
      </c>
      <c r="H1368" t="s">
        <v>3</v>
      </c>
      <c r="I1368" t="s">
        <v>3</v>
      </c>
      <c r="J1368">
        <v>5.6</v>
      </c>
      <c r="K1368" t="s">
        <v>3</v>
      </c>
      <c r="L1368" t="s">
        <v>3</v>
      </c>
      <c r="M1368">
        <v>8.8000000000000007</v>
      </c>
    </row>
    <row r="1369" spans="2:13" x14ac:dyDescent="0.2">
      <c r="C1369" t="s">
        <v>691</v>
      </c>
      <c r="F1369" t="s">
        <v>3</v>
      </c>
      <c r="G1369" t="s">
        <v>3</v>
      </c>
      <c r="H1369" t="s">
        <v>3</v>
      </c>
      <c r="I1369" t="s">
        <v>3</v>
      </c>
      <c r="J1369">
        <v>6.2</v>
      </c>
      <c r="K1369" t="s">
        <v>3</v>
      </c>
      <c r="L1369" t="s">
        <v>3</v>
      </c>
      <c r="M1369">
        <v>11.2</v>
      </c>
    </row>
    <row r="1370" spans="2:13" x14ac:dyDescent="0.2">
      <c r="C1370" t="s">
        <v>689</v>
      </c>
      <c r="F1370" t="s">
        <v>3</v>
      </c>
      <c r="G1370" t="s">
        <v>3</v>
      </c>
      <c r="H1370" t="s">
        <v>3</v>
      </c>
      <c r="I1370" t="s">
        <v>3</v>
      </c>
      <c r="J1370">
        <v>2</v>
      </c>
      <c r="K1370" t="s">
        <v>3</v>
      </c>
      <c r="L1370" t="s">
        <v>3</v>
      </c>
      <c r="M1370" t="s">
        <v>3</v>
      </c>
    </row>
    <row r="1371" spans="2:13" ht="15" x14ac:dyDescent="0.25">
      <c r="B1371" s="2"/>
      <c r="C1371" t="s">
        <v>687</v>
      </c>
      <c r="F1371" t="s">
        <v>688</v>
      </c>
    </row>
    <row r="1373" spans="2:13" ht="15" x14ac:dyDescent="0.25">
      <c r="B1373" s="2" t="s">
        <v>696</v>
      </c>
      <c r="C1373" s="9"/>
    </row>
    <row r="1374" spans="2:13" ht="15" x14ac:dyDescent="0.25">
      <c r="C1374" s="13" t="s">
        <v>697</v>
      </c>
      <c r="E1374" s="2">
        <v>2010</v>
      </c>
      <c r="F1374" s="2">
        <v>2015</v>
      </c>
      <c r="G1374" s="2">
        <v>2020</v>
      </c>
      <c r="H1374" s="2">
        <v>2025</v>
      </c>
      <c r="I1374" s="2">
        <v>2030</v>
      </c>
      <c r="J1374" s="2">
        <v>2035</v>
      </c>
      <c r="K1374" s="2">
        <v>2040</v>
      </c>
      <c r="L1374" s="2">
        <v>2045</v>
      </c>
      <c r="M1374" s="2">
        <v>2050</v>
      </c>
    </row>
    <row r="1375" spans="2:13" x14ac:dyDescent="0.2">
      <c r="C1375" s="9" t="s">
        <v>698</v>
      </c>
      <c r="J1375">
        <v>8.9</v>
      </c>
      <c r="M1375">
        <v>9.1999999999999993</v>
      </c>
    </row>
    <row r="1376" spans="2:13" x14ac:dyDescent="0.2">
      <c r="C1376" s="9" t="s">
        <v>699</v>
      </c>
      <c r="J1376">
        <v>6.6</v>
      </c>
      <c r="M1376">
        <v>4.4000000000000004</v>
      </c>
    </row>
    <row r="1377" spans="2:13" x14ac:dyDescent="0.2">
      <c r="C1377" s="9" t="s">
        <v>700</v>
      </c>
      <c r="J1377">
        <v>5.7</v>
      </c>
      <c r="M1377">
        <v>3.8</v>
      </c>
    </row>
    <row r="1378" spans="2:13" x14ac:dyDescent="0.2">
      <c r="C1378" s="9" t="s">
        <v>701</v>
      </c>
      <c r="J1378">
        <v>3.5</v>
      </c>
      <c r="M1378">
        <v>1.3</v>
      </c>
    </row>
    <row r="1379" spans="2:13" x14ac:dyDescent="0.2">
      <c r="C1379" s="9" t="s">
        <v>702</v>
      </c>
      <c r="J1379">
        <v>0.6</v>
      </c>
      <c r="M1379">
        <v>0.5</v>
      </c>
    </row>
    <row r="1380" spans="2:13" x14ac:dyDescent="0.2">
      <c r="C1380" s="9" t="s">
        <v>703</v>
      </c>
      <c r="J1380">
        <v>6.7</v>
      </c>
      <c r="M1380">
        <v>6.4</v>
      </c>
    </row>
    <row r="1381" spans="2:13" x14ac:dyDescent="0.2">
      <c r="C1381" s="9" t="s">
        <v>704</v>
      </c>
      <c r="J1381">
        <v>4.3</v>
      </c>
      <c r="M1381">
        <v>2.8</v>
      </c>
    </row>
    <row r="1382" spans="2:13" x14ac:dyDescent="0.2">
      <c r="C1382" s="9" t="s">
        <v>705</v>
      </c>
      <c r="J1382">
        <v>0.6</v>
      </c>
      <c r="M1382">
        <v>0.5</v>
      </c>
    </row>
    <row r="1383" spans="2:13" x14ac:dyDescent="0.2">
      <c r="C1383" s="13"/>
    </row>
    <row r="1384" spans="2:13" ht="15" x14ac:dyDescent="0.25">
      <c r="B1384" s="2" t="s">
        <v>706</v>
      </c>
      <c r="C1384" s="13"/>
    </row>
    <row r="1385" spans="2:13" ht="15" x14ac:dyDescent="0.25">
      <c r="B1385" s="2"/>
      <c r="C1385" s="13" t="s">
        <v>708</v>
      </c>
    </row>
    <row r="1386" spans="2:13" x14ac:dyDescent="0.2">
      <c r="C1386" s="9" t="s">
        <v>707</v>
      </c>
      <c r="E1386">
        <v>15</v>
      </c>
      <c r="G1386">
        <v>38</v>
      </c>
      <c r="I1386">
        <v>46</v>
      </c>
      <c r="J1386">
        <v>50</v>
      </c>
      <c r="K1386">
        <v>53</v>
      </c>
      <c r="M1386">
        <v>56</v>
      </c>
    </row>
    <row r="1387" spans="2:13" x14ac:dyDescent="0.2">
      <c r="C1387" s="9" t="s">
        <v>678</v>
      </c>
      <c r="E1387">
        <v>15</v>
      </c>
      <c r="G1387">
        <v>45</v>
      </c>
      <c r="I1387">
        <v>105</v>
      </c>
      <c r="J1387">
        <v>120</v>
      </c>
      <c r="K1387">
        <v>130</v>
      </c>
      <c r="M1387">
        <v>137</v>
      </c>
    </row>
    <row r="1388" spans="2:13" x14ac:dyDescent="0.2">
      <c r="C1388" s="13"/>
    </row>
    <row r="1389" spans="2:13" ht="15" x14ac:dyDescent="0.25">
      <c r="B1389" s="2" t="s">
        <v>747</v>
      </c>
      <c r="C1389" s="13"/>
    </row>
    <row r="1390" spans="2:13" ht="15" x14ac:dyDescent="0.25">
      <c r="C1390" s="13" t="s">
        <v>709</v>
      </c>
      <c r="D1390" s="2">
        <v>2000</v>
      </c>
      <c r="E1390" s="2">
        <v>2010</v>
      </c>
      <c r="F1390" s="2">
        <v>2015</v>
      </c>
      <c r="G1390" s="2">
        <v>2020</v>
      </c>
      <c r="H1390" s="2">
        <v>2025</v>
      </c>
      <c r="I1390" s="2">
        <v>2030</v>
      </c>
      <c r="J1390" s="2">
        <v>2035</v>
      </c>
      <c r="K1390" s="2">
        <v>2040</v>
      </c>
      <c r="L1390" s="2">
        <v>2045</v>
      </c>
      <c r="M1390" s="2">
        <v>2050</v>
      </c>
    </row>
    <row r="1391" spans="2:13" x14ac:dyDescent="0.2">
      <c r="C1391" s="9" t="s">
        <v>698</v>
      </c>
      <c r="D1391">
        <v>5453</v>
      </c>
      <c r="E1391" s="77">
        <v>5528</v>
      </c>
      <c r="G1391" s="77">
        <v>6804</v>
      </c>
      <c r="I1391">
        <v>7991</v>
      </c>
      <c r="J1391">
        <v>9121</v>
      </c>
      <c r="K1391" s="77">
        <v>9127</v>
      </c>
      <c r="M1391">
        <v>9574</v>
      </c>
    </row>
    <row r="1392" spans="2:13" x14ac:dyDescent="0.2">
      <c r="C1392" s="9" t="s">
        <v>699</v>
      </c>
      <c r="D1392">
        <v>5453</v>
      </c>
      <c r="E1392" s="77">
        <v>5528</v>
      </c>
      <c r="G1392">
        <v>6997</v>
      </c>
      <c r="I1392">
        <v>8299</v>
      </c>
      <c r="J1392">
        <v>9290</v>
      </c>
      <c r="K1392">
        <v>9156</v>
      </c>
      <c r="M1392">
        <v>9449</v>
      </c>
    </row>
    <row r="1393" spans="2:13" x14ac:dyDescent="0.2">
      <c r="C1393" s="9" t="s">
        <v>700</v>
      </c>
      <c r="D1393">
        <v>5457</v>
      </c>
      <c r="E1393">
        <v>5534</v>
      </c>
      <c r="G1393">
        <v>6595</v>
      </c>
      <c r="I1393">
        <v>7344</v>
      </c>
      <c r="J1393">
        <v>8424</v>
      </c>
      <c r="K1393">
        <v>8133</v>
      </c>
      <c r="M1393">
        <v>7827</v>
      </c>
    </row>
    <row r="1394" spans="2:13" x14ac:dyDescent="0.2">
      <c r="C1394" s="9" t="s">
        <v>701</v>
      </c>
      <c r="D1394">
        <v>5457</v>
      </c>
      <c r="E1394">
        <v>5534</v>
      </c>
      <c r="G1394" s="77">
        <v>6800</v>
      </c>
      <c r="I1394" s="77">
        <v>7793</v>
      </c>
      <c r="J1394">
        <v>8354</v>
      </c>
      <c r="K1394" s="77">
        <v>8260</v>
      </c>
      <c r="M1394">
        <v>8291</v>
      </c>
    </row>
    <row r="1395" spans="2:13" x14ac:dyDescent="0.2">
      <c r="C1395" s="9" t="s">
        <v>702</v>
      </c>
      <c r="D1395">
        <v>5457</v>
      </c>
      <c r="E1395">
        <v>5534</v>
      </c>
      <c r="G1395" s="77">
        <v>6800</v>
      </c>
      <c r="I1395" s="77">
        <v>7642</v>
      </c>
      <c r="J1395">
        <v>7889</v>
      </c>
      <c r="K1395" s="77">
        <v>7802</v>
      </c>
      <c r="M1395">
        <v>8000</v>
      </c>
    </row>
    <row r="1396" spans="2:13" x14ac:dyDescent="0.2">
      <c r="C1396" s="9" t="s">
        <v>703</v>
      </c>
      <c r="D1396">
        <v>5453</v>
      </c>
      <c r="E1396" s="77">
        <v>5528</v>
      </c>
      <c r="G1396" s="77">
        <v>6595</v>
      </c>
      <c r="I1396" s="77">
        <v>7295</v>
      </c>
      <c r="J1396">
        <v>8193</v>
      </c>
      <c r="K1396" s="77">
        <v>8139</v>
      </c>
      <c r="M1396">
        <v>8392</v>
      </c>
    </row>
    <row r="1397" spans="2:13" x14ac:dyDescent="0.2">
      <c r="C1397" s="9" t="s">
        <v>704</v>
      </c>
      <c r="D1397">
        <v>5453</v>
      </c>
      <c r="E1397" s="77">
        <v>5528</v>
      </c>
      <c r="G1397" s="77">
        <v>6789</v>
      </c>
      <c r="I1397" s="77">
        <v>7824</v>
      </c>
      <c r="J1397">
        <v>8363</v>
      </c>
      <c r="K1397" s="77">
        <v>8330</v>
      </c>
      <c r="M1397">
        <v>8789</v>
      </c>
    </row>
    <row r="1398" spans="2:13" x14ac:dyDescent="0.2">
      <c r="C1398" s="9" t="s">
        <v>705</v>
      </c>
      <c r="D1398">
        <v>5453</v>
      </c>
      <c r="E1398" s="77">
        <v>5528</v>
      </c>
      <c r="G1398" s="77">
        <v>6789</v>
      </c>
      <c r="I1398" s="77">
        <v>7767</v>
      </c>
      <c r="J1398">
        <v>8195</v>
      </c>
      <c r="K1398" s="77">
        <v>8129</v>
      </c>
      <c r="M1398">
        <v>8630</v>
      </c>
    </row>
    <row r="1399" spans="2:13" x14ac:dyDescent="0.2">
      <c r="C1399" s="13"/>
    </row>
    <row r="1400" spans="2:13" x14ac:dyDescent="0.2">
      <c r="C1400" s="13"/>
    </row>
    <row r="1401" spans="2:13" ht="15" x14ac:dyDescent="0.25">
      <c r="B1401" s="2" t="s">
        <v>746</v>
      </c>
      <c r="C1401" s="13"/>
    </row>
    <row r="1402" spans="2:13" x14ac:dyDescent="0.2">
      <c r="C1402" s="9" t="s">
        <v>712</v>
      </c>
    </row>
    <row r="1403" spans="2:13" x14ac:dyDescent="0.2">
      <c r="C1403" s="9" t="s">
        <v>1274</v>
      </c>
      <c r="M1403">
        <v>125.9</v>
      </c>
    </row>
    <row r="1404" spans="2:13" x14ac:dyDescent="0.2">
      <c r="C1404" s="9"/>
    </row>
    <row r="1405" spans="2:13" ht="15" x14ac:dyDescent="0.25">
      <c r="B1405" s="2" t="s">
        <v>1047</v>
      </c>
      <c r="C1405" s="9"/>
      <c r="D1405" s="2">
        <v>2000</v>
      </c>
      <c r="E1405" s="2">
        <v>2010</v>
      </c>
      <c r="F1405" s="2">
        <v>2015</v>
      </c>
      <c r="G1405" s="2">
        <v>2020</v>
      </c>
      <c r="H1405" s="2">
        <v>2025</v>
      </c>
      <c r="I1405" s="2">
        <v>2030</v>
      </c>
      <c r="J1405" s="2">
        <v>2035</v>
      </c>
      <c r="K1405" s="2">
        <v>2040</v>
      </c>
      <c r="L1405" s="2">
        <v>2045</v>
      </c>
      <c r="M1405" s="2">
        <v>2050</v>
      </c>
    </row>
    <row r="1406" spans="2:13" x14ac:dyDescent="0.2">
      <c r="C1406" s="13" t="s">
        <v>684</v>
      </c>
    </row>
    <row r="1407" spans="2:13" x14ac:dyDescent="0.2">
      <c r="C1407" s="9" t="s">
        <v>707</v>
      </c>
      <c r="D1407">
        <v>6.5</v>
      </c>
      <c r="E1407">
        <v>9.1</v>
      </c>
      <c r="G1407">
        <v>11.8</v>
      </c>
      <c r="I1407">
        <v>13.3</v>
      </c>
      <c r="J1407">
        <v>13.9</v>
      </c>
      <c r="K1407">
        <v>14.3</v>
      </c>
      <c r="M1407">
        <v>14.9</v>
      </c>
    </row>
    <row r="1408" spans="2:13" x14ac:dyDescent="0.2">
      <c r="C1408" s="9" t="s">
        <v>678</v>
      </c>
      <c r="D1408">
        <v>6.5</v>
      </c>
      <c r="E1408">
        <v>9.1</v>
      </c>
      <c r="G1408">
        <v>12.2</v>
      </c>
      <c r="I1408">
        <v>14.6</v>
      </c>
      <c r="J1408">
        <v>15.7</v>
      </c>
      <c r="K1408">
        <v>16.5</v>
      </c>
      <c r="M1408">
        <v>17.5</v>
      </c>
    </row>
    <row r="1409" spans="2:13" x14ac:dyDescent="0.2">
      <c r="C1409" s="13"/>
    </row>
    <row r="1410" spans="2:13" ht="15" x14ac:dyDescent="0.25">
      <c r="B1410" s="2" t="s">
        <v>1051</v>
      </c>
      <c r="C1410" s="9"/>
      <c r="D1410" s="2">
        <v>2000</v>
      </c>
      <c r="E1410" s="2">
        <v>2010</v>
      </c>
      <c r="F1410" s="2">
        <v>2015</v>
      </c>
      <c r="G1410" s="2">
        <v>2020</v>
      </c>
      <c r="H1410" s="2">
        <v>2025</v>
      </c>
      <c r="I1410" s="2">
        <v>2030</v>
      </c>
      <c r="J1410" s="2">
        <v>2035</v>
      </c>
      <c r="K1410" s="2">
        <v>2040</v>
      </c>
      <c r="L1410" s="2">
        <v>2045</v>
      </c>
      <c r="M1410" s="2">
        <v>2050</v>
      </c>
    </row>
    <row r="1411" spans="2:13" x14ac:dyDescent="0.2">
      <c r="C1411" s="13" t="s">
        <v>1043</v>
      </c>
    </row>
    <row r="1412" spans="2:13" x14ac:dyDescent="0.2">
      <c r="C1412" s="9" t="s">
        <v>707</v>
      </c>
      <c r="G1412">
        <v>757</v>
      </c>
      <c r="H1412" s="109">
        <f>1/2*(G1412+I1412)</f>
        <v>790.5</v>
      </c>
      <c r="I1412">
        <v>824</v>
      </c>
      <c r="J1412">
        <v>842</v>
      </c>
      <c r="K1412">
        <v>848</v>
      </c>
      <c r="L1412" s="109">
        <f>1/2*(K1412+M1412)</f>
        <v>847</v>
      </c>
      <c r="M1412">
        <v>846</v>
      </c>
    </row>
    <row r="1413" spans="2:13" x14ac:dyDescent="0.2">
      <c r="C1413" s="9" t="s">
        <v>678</v>
      </c>
      <c r="D1413" t="s">
        <v>1048</v>
      </c>
    </row>
    <row r="1414" spans="2:13" x14ac:dyDescent="0.2">
      <c r="C1414" s="13"/>
    </row>
    <row r="1415" spans="2:13" x14ac:dyDescent="0.2">
      <c r="C1415" s="9"/>
    </row>
    <row r="1416" spans="2:13" ht="15" x14ac:dyDescent="0.25">
      <c r="B1416" s="2" t="s">
        <v>714</v>
      </c>
      <c r="C1416" s="9"/>
    </row>
    <row r="1417" spans="2:13" ht="15" x14ac:dyDescent="0.25">
      <c r="B1417" s="2"/>
      <c r="C1417" s="9" t="s">
        <v>684</v>
      </c>
      <c r="D1417" s="2">
        <v>2000</v>
      </c>
      <c r="E1417" s="2">
        <v>2010</v>
      </c>
      <c r="F1417" s="2">
        <v>2015</v>
      </c>
      <c r="G1417" s="2">
        <v>2020</v>
      </c>
      <c r="H1417" s="2">
        <v>2025</v>
      </c>
      <c r="I1417" s="2">
        <v>2030</v>
      </c>
      <c r="J1417" s="2">
        <v>2035</v>
      </c>
      <c r="K1417" s="2">
        <v>2040</v>
      </c>
      <c r="L1417" s="2">
        <v>2045</v>
      </c>
      <c r="M1417" s="2">
        <v>2050</v>
      </c>
    </row>
    <row r="1418" spans="2:13" x14ac:dyDescent="0.2">
      <c r="C1418" s="9" t="s">
        <v>713</v>
      </c>
      <c r="J1418">
        <v>12</v>
      </c>
    </row>
    <row r="1419" spans="2:13" ht="15" x14ac:dyDescent="0.25">
      <c r="C1419" s="9" t="s">
        <v>717</v>
      </c>
      <c r="M1419">
        <v>16</v>
      </c>
    </row>
    <row r="1420" spans="2:13" x14ac:dyDescent="0.2">
      <c r="C1420" s="9" t="s">
        <v>715</v>
      </c>
      <c r="M1420">
        <v>36</v>
      </c>
    </row>
    <row r="1421" spans="2:13" ht="15" x14ac:dyDescent="0.25">
      <c r="C1421" s="9" t="s">
        <v>718</v>
      </c>
      <c r="M1421">
        <v>10</v>
      </c>
    </row>
    <row r="1422" spans="2:13" x14ac:dyDescent="0.2">
      <c r="C1422" s="9" t="s">
        <v>716</v>
      </c>
      <c r="M1422">
        <v>22</v>
      </c>
    </row>
    <row r="1423" spans="2:13" ht="15" x14ac:dyDescent="0.25">
      <c r="C1423" s="9" t="s">
        <v>719</v>
      </c>
      <c r="E1423">
        <v>50</v>
      </c>
      <c r="M1423">
        <v>8</v>
      </c>
    </row>
    <row r="1424" spans="2:13" x14ac:dyDescent="0.2">
      <c r="C1424" s="9" t="s">
        <v>720</v>
      </c>
      <c r="E1424">
        <v>50</v>
      </c>
      <c r="M1424">
        <v>25</v>
      </c>
    </row>
    <row r="1425" spans="2:13" ht="15" x14ac:dyDescent="0.25">
      <c r="C1425" s="9" t="s">
        <v>721</v>
      </c>
      <c r="M1425">
        <v>15</v>
      </c>
    </row>
    <row r="1426" spans="2:13" x14ac:dyDescent="0.2">
      <c r="C1426" s="9" t="s">
        <v>722</v>
      </c>
      <c r="M1426">
        <v>32</v>
      </c>
    </row>
    <row r="1427" spans="2:13" ht="15" x14ac:dyDescent="0.25">
      <c r="C1427" s="9" t="s">
        <v>723</v>
      </c>
      <c r="M1427">
        <v>46</v>
      </c>
    </row>
    <row r="1428" spans="2:13" x14ac:dyDescent="0.2">
      <c r="C1428" s="9" t="s">
        <v>724</v>
      </c>
      <c r="M1428">
        <v>71</v>
      </c>
    </row>
    <row r="1429" spans="2:13" ht="15" x14ac:dyDescent="0.25">
      <c r="C1429" s="2" t="s">
        <v>725</v>
      </c>
    </row>
    <row r="1430" spans="2:13" ht="15" x14ac:dyDescent="0.25">
      <c r="C1430" s="2"/>
    </row>
    <row r="1431" spans="2:13" ht="15" x14ac:dyDescent="0.25">
      <c r="B1431" s="2" t="s">
        <v>748</v>
      </c>
      <c r="C1431" s="13"/>
    </row>
    <row r="1432" spans="2:13" ht="15" x14ac:dyDescent="0.25">
      <c r="C1432" s="13" t="s">
        <v>711</v>
      </c>
      <c r="D1432" s="2">
        <v>2000</v>
      </c>
      <c r="E1432" s="2">
        <v>2010</v>
      </c>
      <c r="F1432" s="2">
        <v>2015</v>
      </c>
      <c r="G1432" s="2">
        <v>2020</v>
      </c>
      <c r="H1432" s="2">
        <v>2025</v>
      </c>
      <c r="I1432" s="2">
        <v>2030</v>
      </c>
      <c r="J1432" s="2">
        <v>2035</v>
      </c>
      <c r="K1432" s="2">
        <v>2040</v>
      </c>
      <c r="L1432" s="2">
        <v>2045</v>
      </c>
      <c r="M1432" s="2">
        <v>2050</v>
      </c>
    </row>
    <row r="1433" spans="2:13" x14ac:dyDescent="0.2">
      <c r="C1433" s="9" t="s">
        <v>789</v>
      </c>
      <c r="D1433">
        <v>7.3</v>
      </c>
      <c r="E1433">
        <v>7.6</v>
      </c>
      <c r="G1433">
        <v>8.9</v>
      </c>
      <c r="I1433">
        <v>9.5</v>
      </c>
      <c r="J1433">
        <v>9.8000000000000007</v>
      </c>
      <c r="K1433">
        <v>9.6</v>
      </c>
      <c r="M1433">
        <v>9.9</v>
      </c>
    </row>
    <row r="1434" spans="2:13" x14ac:dyDescent="0.2">
      <c r="C1434" s="9" t="s">
        <v>790</v>
      </c>
      <c r="D1434">
        <v>5.4</v>
      </c>
      <c r="E1434">
        <v>5.4</v>
      </c>
      <c r="G1434">
        <v>6</v>
      </c>
      <c r="I1434">
        <v>6.9</v>
      </c>
      <c r="J1434" t="s">
        <v>3</v>
      </c>
      <c r="K1434" t="s">
        <v>3</v>
      </c>
      <c r="M1434" t="s">
        <v>3</v>
      </c>
    </row>
    <row r="1435" spans="2:13" x14ac:dyDescent="0.2">
      <c r="C1435" s="9" t="s">
        <v>791</v>
      </c>
      <c r="D1435">
        <v>8.6999999999999993</v>
      </c>
      <c r="E1435">
        <v>7.5</v>
      </c>
      <c r="G1435">
        <v>7.1</v>
      </c>
      <c r="I1435">
        <v>6.8</v>
      </c>
      <c r="J1435">
        <v>6.7</v>
      </c>
      <c r="K1435">
        <v>6.7</v>
      </c>
      <c r="M1435">
        <v>6.5</v>
      </c>
    </row>
    <row r="1436" spans="2:13" ht="15" x14ac:dyDescent="0.25">
      <c r="C1436" s="2"/>
    </row>
    <row r="1437" spans="2:13" x14ac:dyDescent="0.2">
      <c r="C1437" s="9" t="s">
        <v>779</v>
      </c>
      <c r="D1437">
        <v>70.3</v>
      </c>
      <c r="E1437">
        <v>60.9</v>
      </c>
      <c r="G1437">
        <v>13</v>
      </c>
      <c r="I1437">
        <v>13.8</v>
      </c>
      <c r="J1437">
        <v>13.5</v>
      </c>
      <c r="K1437">
        <v>14.3</v>
      </c>
      <c r="M1437">
        <v>14.8</v>
      </c>
    </row>
    <row r="1438" spans="2:13" x14ac:dyDescent="0.2">
      <c r="C1438" s="9" t="s">
        <v>780</v>
      </c>
      <c r="D1438">
        <v>17.100000000000001</v>
      </c>
      <c r="E1438">
        <v>22.6</v>
      </c>
      <c r="G1438">
        <v>28</v>
      </c>
      <c r="I1438">
        <v>32.9</v>
      </c>
      <c r="J1438">
        <v>33.700000000000003</v>
      </c>
      <c r="K1438">
        <v>34.9</v>
      </c>
      <c r="M1438">
        <v>34.700000000000003</v>
      </c>
    </row>
    <row r="1439" spans="2:13" x14ac:dyDescent="0.2">
      <c r="C1439" s="9" t="s">
        <v>781</v>
      </c>
      <c r="D1439">
        <v>23.6</v>
      </c>
      <c r="E1439">
        <v>38</v>
      </c>
      <c r="G1439">
        <v>42.2</v>
      </c>
      <c r="I1439">
        <v>38</v>
      </c>
      <c r="J1439">
        <v>32.9</v>
      </c>
      <c r="K1439">
        <v>28.1</v>
      </c>
      <c r="M1439">
        <v>21.6</v>
      </c>
    </row>
    <row r="1440" spans="2:13" x14ac:dyDescent="0.2">
      <c r="C1440" s="9" t="s">
        <v>782</v>
      </c>
      <c r="D1440">
        <v>129</v>
      </c>
      <c r="E1440">
        <v>64.400000000000006</v>
      </c>
      <c r="G1440">
        <v>20.6</v>
      </c>
      <c r="I1440">
        <v>14.5</v>
      </c>
      <c r="J1440">
        <v>11.7</v>
      </c>
      <c r="K1440">
        <v>10.8</v>
      </c>
      <c r="M1440">
        <v>9.6</v>
      </c>
    </row>
    <row r="1441" spans="3:13" x14ac:dyDescent="0.2">
      <c r="C1441" s="22" t="s">
        <v>783</v>
      </c>
      <c r="D1441" s="14">
        <v>5.7</v>
      </c>
      <c r="E1441" s="14">
        <v>5.8</v>
      </c>
      <c r="F1441" s="14"/>
      <c r="G1441" s="14">
        <v>5.9</v>
      </c>
      <c r="H1441" s="14"/>
      <c r="I1441" s="14">
        <v>6</v>
      </c>
      <c r="J1441" s="14">
        <v>5.2</v>
      </c>
      <c r="K1441" s="14">
        <v>5.3</v>
      </c>
      <c r="L1441" s="14"/>
      <c r="M1441" s="14" t="s">
        <v>3</v>
      </c>
    </row>
    <row r="1442" spans="3:13" x14ac:dyDescent="0.2">
      <c r="C1442" s="9" t="s">
        <v>699</v>
      </c>
      <c r="D1442">
        <v>6.6</v>
      </c>
      <c r="E1442">
        <v>7</v>
      </c>
      <c r="F1442" s="19">
        <f>1/2*(E1442+G1442)</f>
        <v>8</v>
      </c>
      <c r="G1442">
        <v>9</v>
      </c>
      <c r="H1442" s="19">
        <f>1/2*(G1442+I1442)</f>
        <v>10.15</v>
      </c>
      <c r="I1442">
        <v>11.3</v>
      </c>
      <c r="J1442" s="4">
        <v>12.5</v>
      </c>
      <c r="K1442">
        <v>12.4</v>
      </c>
      <c r="L1442" s="19">
        <f>1/2*(K1442+M1442)</f>
        <v>12.25</v>
      </c>
      <c r="M1442" s="4">
        <v>12.1</v>
      </c>
    </row>
    <row r="1443" spans="3:13" ht="15" x14ac:dyDescent="0.25">
      <c r="C1443" s="2"/>
    </row>
    <row r="1444" spans="3:13" x14ac:dyDescent="0.2">
      <c r="C1444" s="9" t="s">
        <v>784</v>
      </c>
      <c r="D1444">
        <v>70.3</v>
      </c>
      <c r="E1444">
        <v>60.9</v>
      </c>
      <c r="G1444">
        <v>13.6</v>
      </c>
      <c r="I1444">
        <v>13.3</v>
      </c>
      <c r="J1444">
        <v>13.2</v>
      </c>
      <c r="K1444">
        <v>13.6</v>
      </c>
      <c r="M1444">
        <v>13.9</v>
      </c>
    </row>
    <row r="1445" spans="3:13" x14ac:dyDescent="0.2">
      <c r="C1445" s="9" t="s">
        <v>785</v>
      </c>
      <c r="D1445">
        <v>17.100000000000001</v>
      </c>
      <c r="E1445">
        <v>22.6</v>
      </c>
      <c r="G1445">
        <v>28</v>
      </c>
      <c r="I1445">
        <v>32.9</v>
      </c>
      <c r="J1445">
        <v>33.700000000000003</v>
      </c>
      <c r="K1445">
        <v>34.9</v>
      </c>
      <c r="M1445">
        <v>34.700000000000003</v>
      </c>
    </row>
    <row r="1446" spans="3:13" x14ac:dyDescent="0.2">
      <c r="C1446" s="9" t="s">
        <v>786</v>
      </c>
      <c r="D1446">
        <v>23.6</v>
      </c>
      <c r="E1446">
        <v>38</v>
      </c>
      <c r="G1446">
        <v>44.1</v>
      </c>
      <c r="I1446">
        <v>41.3</v>
      </c>
      <c r="J1446">
        <v>38.200000000000003</v>
      </c>
      <c r="K1446">
        <v>37.5</v>
      </c>
      <c r="M1446">
        <v>34.5</v>
      </c>
    </row>
    <row r="1447" spans="3:13" x14ac:dyDescent="0.2">
      <c r="C1447" s="9" t="s">
        <v>787</v>
      </c>
      <c r="D1447">
        <v>129</v>
      </c>
      <c r="E1447">
        <v>64.400000000000006</v>
      </c>
      <c r="G1447">
        <v>23.8</v>
      </c>
      <c r="I1447">
        <v>14.6</v>
      </c>
      <c r="J1447">
        <v>11.3</v>
      </c>
      <c r="K1447">
        <v>10.6</v>
      </c>
      <c r="M1447">
        <v>9.3000000000000007</v>
      </c>
    </row>
    <row r="1448" spans="3:13" x14ac:dyDescent="0.2">
      <c r="C1448" s="22" t="s">
        <v>788</v>
      </c>
      <c r="D1448" s="14">
        <v>5.7</v>
      </c>
      <c r="E1448" s="14">
        <v>5.8</v>
      </c>
      <c r="F1448" s="14"/>
      <c r="G1448" s="14">
        <v>5.9</v>
      </c>
      <c r="H1448" s="14"/>
      <c r="I1448" s="14">
        <v>6</v>
      </c>
      <c r="J1448" s="14">
        <v>5.2</v>
      </c>
      <c r="K1448" s="14">
        <v>5.3</v>
      </c>
      <c r="L1448" s="14"/>
      <c r="M1448" s="14" t="s">
        <v>3</v>
      </c>
    </row>
    <row r="1449" spans="3:13" x14ac:dyDescent="0.2">
      <c r="C1449" s="9" t="s">
        <v>698</v>
      </c>
      <c r="D1449">
        <v>6.6</v>
      </c>
      <c r="E1449">
        <v>7</v>
      </c>
      <c r="F1449" s="19">
        <f>1/2*(E1449+G1449)</f>
        <v>7.9</v>
      </c>
      <c r="G1449">
        <v>8.8000000000000007</v>
      </c>
      <c r="H1449" s="19">
        <f>1/2*(G1449+I1449)</f>
        <v>9.8000000000000007</v>
      </c>
      <c r="I1449">
        <v>10.8</v>
      </c>
      <c r="J1449" s="4">
        <v>12.1</v>
      </c>
      <c r="K1449">
        <v>12.1</v>
      </c>
      <c r="L1449" s="19">
        <f>1/2*(K1449+M1449)</f>
        <v>12.2</v>
      </c>
      <c r="M1449" s="4">
        <v>12.3</v>
      </c>
    </row>
    <row r="1450" spans="3:13" x14ac:dyDescent="0.2">
      <c r="C1450" s="9"/>
    </row>
    <row r="1451" spans="3:13" x14ac:dyDescent="0.2">
      <c r="C1451" s="9" t="s">
        <v>749</v>
      </c>
      <c r="D1451">
        <v>70.3</v>
      </c>
      <c r="E1451">
        <v>60.9</v>
      </c>
      <c r="G1451" t="s">
        <v>3</v>
      </c>
      <c r="I1451">
        <v>13.5</v>
      </c>
      <c r="J1451">
        <v>13.7</v>
      </c>
      <c r="K1451">
        <v>14.5</v>
      </c>
      <c r="M1451">
        <v>15.6</v>
      </c>
    </row>
    <row r="1452" spans="3:13" x14ac:dyDescent="0.2">
      <c r="C1452" s="9" t="s">
        <v>750</v>
      </c>
      <c r="D1452">
        <v>17.100000000000001</v>
      </c>
      <c r="E1452">
        <v>22.6</v>
      </c>
      <c r="G1452">
        <v>28</v>
      </c>
      <c r="I1452">
        <v>32.9</v>
      </c>
      <c r="J1452">
        <v>33.700000000000003</v>
      </c>
      <c r="K1452">
        <v>34.9</v>
      </c>
      <c r="M1452">
        <v>34.700000000000003</v>
      </c>
    </row>
    <row r="1453" spans="3:13" x14ac:dyDescent="0.2">
      <c r="C1453" s="9" t="s">
        <v>751</v>
      </c>
      <c r="D1453">
        <v>23.6</v>
      </c>
      <c r="E1453">
        <v>38</v>
      </c>
      <c r="G1453">
        <v>42.2</v>
      </c>
      <c r="I1453">
        <v>38</v>
      </c>
      <c r="J1453">
        <v>32.9</v>
      </c>
      <c r="K1453">
        <v>28.1</v>
      </c>
      <c r="M1453">
        <v>21.6</v>
      </c>
    </row>
    <row r="1454" spans="3:13" x14ac:dyDescent="0.2">
      <c r="C1454" s="9" t="s">
        <v>752</v>
      </c>
      <c r="D1454">
        <v>129</v>
      </c>
      <c r="E1454">
        <v>64.400000000000006</v>
      </c>
      <c r="G1454">
        <v>20.6</v>
      </c>
      <c r="I1454">
        <v>14.5</v>
      </c>
      <c r="J1454">
        <v>11.7</v>
      </c>
      <c r="K1454">
        <v>10.8</v>
      </c>
      <c r="M1454">
        <v>9.6</v>
      </c>
    </row>
    <row r="1455" spans="3:13" x14ac:dyDescent="0.2">
      <c r="C1455" s="22" t="s">
        <v>753</v>
      </c>
      <c r="D1455" s="14">
        <v>5.7</v>
      </c>
      <c r="E1455" s="14">
        <v>5.8</v>
      </c>
      <c r="F1455" s="14"/>
      <c r="G1455" s="14">
        <v>5.9</v>
      </c>
      <c r="H1455" s="14"/>
      <c r="I1455" s="14">
        <v>6</v>
      </c>
      <c r="J1455" s="14">
        <v>5.2</v>
      </c>
      <c r="K1455" s="14">
        <v>5.3</v>
      </c>
      <c r="L1455" s="14"/>
      <c r="M1455" s="14" t="s">
        <v>3</v>
      </c>
    </row>
    <row r="1456" spans="3:13" x14ac:dyDescent="0.2">
      <c r="C1456" s="9" t="s">
        <v>704</v>
      </c>
      <c r="D1456">
        <v>6.6</v>
      </c>
      <c r="E1456">
        <v>7</v>
      </c>
      <c r="F1456" s="19">
        <f>1/2*(E1456+G1456)</f>
        <v>7.95</v>
      </c>
      <c r="G1456">
        <v>8.9</v>
      </c>
      <c r="H1456" s="19">
        <f>1/2*(G1456+I1456)</f>
        <v>10.050000000000001</v>
      </c>
      <c r="I1456">
        <v>11.2</v>
      </c>
      <c r="J1456" s="4">
        <v>12.5</v>
      </c>
      <c r="K1456">
        <v>12.3</v>
      </c>
      <c r="L1456" s="19">
        <f>1/2*(K1456+M1456)</f>
        <v>12.15</v>
      </c>
      <c r="M1456" s="4">
        <v>12</v>
      </c>
    </row>
    <row r="1457" spans="3:13" x14ac:dyDescent="0.2">
      <c r="C1457" s="9"/>
    </row>
    <row r="1458" spans="3:13" x14ac:dyDescent="0.2">
      <c r="C1458" s="9" t="s">
        <v>754</v>
      </c>
      <c r="D1458">
        <v>70.3</v>
      </c>
      <c r="E1458">
        <v>60.9</v>
      </c>
      <c r="G1458">
        <v>14.7</v>
      </c>
      <c r="I1458">
        <v>13.4</v>
      </c>
      <c r="J1458">
        <v>13.3</v>
      </c>
      <c r="K1458">
        <v>13.9</v>
      </c>
      <c r="M1458">
        <v>14.2</v>
      </c>
    </row>
    <row r="1459" spans="3:13" x14ac:dyDescent="0.2">
      <c r="C1459" s="9" t="s">
        <v>755</v>
      </c>
      <c r="D1459">
        <v>17.100000000000001</v>
      </c>
      <c r="E1459">
        <v>22.6</v>
      </c>
      <c r="G1459">
        <v>28</v>
      </c>
      <c r="I1459">
        <v>32.9</v>
      </c>
      <c r="J1459">
        <v>33.700000000000003</v>
      </c>
      <c r="K1459">
        <v>34.9</v>
      </c>
      <c r="M1459">
        <v>34.700000000000003</v>
      </c>
    </row>
    <row r="1460" spans="3:13" x14ac:dyDescent="0.2">
      <c r="C1460" s="9" t="s">
        <v>756</v>
      </c>
      <c r="D1460">
        <v>23.6</v>
      </c>
      <c r="E1460">
        <v>38</v>
      </c>
      <c r="G1460">
        <v>44.1</v>
      </c>
      <c r="I1460">
        <v>41.3</v>
      </c>
      <c r="J1460">
        <v>38.200000000000003</v>
      </c>
      <c r="K1460">
        <v>37.5</v>
      </c>
      <c r="M1460">
        <v>34.5</v>
      </c>
    </row>
    <row r="1461" spans="3:13" x14ac:dyDescent="0.2">
      <c r="C1461" s="9" t="s">
        <v>757</v>
      </c>
      <c r="D1461">
        <v>129</v>
      </c>
      <c r="E1461">
        <v>64.400000000000006</v>
      </c>
      <c r="G1461">
        <v>23.8</v>
      </c>
      <c r="I1461">
        <v>14.6</v>
      </c>
      <c r="J1461">
        <v>11.3</v>
      </c>
      <c r="K1461">
        <v>10.6</v>
      </c>
      <c r="M1461">
        <v>9.3000000000000007</v>
      </c>
    </row>
    <row r="1462" spans="3:13" x14ac:dyDescent="0.2">
      <c r="C1462" s="22" t="s">
        <v>758</v>
      </c>
      <c r="D1462" s="14">
        <v>5.7</v>
      </c>
      <c r="E1462" s="14">
        <v>5.8</v>
      </c>
      <c r="F1462" s="14"/>
      <c r="G1462" s="14">
        <v>5.9</v>
      </c>
      <c r="H1462" s="14"/>
      <c r="I1462" s="14">
        <v>6</v>
      </c>
      <c r="J1462" s="14">
        <v>5.2</v>
      </c>
      <c r="K1462" s="14">
        <v>5.3</v>
      </c>
      <c r="L1462" s="14"/>
      <c r="M1462" s="14" t="s">
        <v>3</v>
      </c>
    </row>
    <row r="1463" spans="3:13" x14ac:dyDescent="0.2">
      <c r="C1463" s="9" t="s">
        <v>703</v>
      </c>
      <c r="D1463">
        <v>6.6</v>
      </c>
      <c r="E1463">
        <v>7</v>
      </c>
      <c r="F1463" s="19">
        <f>1/2*(E1463+G1463)</f>
        <v>7.85</v>
      </c>
      <c r="G1463">
        <v>8.6999999999999993</v>
      </c>
      <c r="H1463" s="19">
        <f>1/2*(G1463+I1463)</f>
        <v>9.6999999999999993</v>
      </c>
      <c r="I1463">
        <v>10.7</v>
      </c>
      <c r="J1463" s="4">
        <v>12</v>
      </c>
      <c r="K1463" s="4">
        <v>12</v>
      </c>
      <c r="L1463" s="19">
        <f>1/2*(K1463+M1463)</f>
        <v>12.05</v>
      </c>
      <c r="M1463" s="4">
        <v>12.1</v>
      </c>
    </row>
    <row r="1464" spans="3:13" x14ac:dyDescent="0.2">
      <c r="C1464" s="9"/>
    </row>
    <row r="1465" spans="3:13" x14ac:dyDescent="0.2">
      <c r="C1465" s="9" t="s">
        <v>759</v>
      </c>
      <c r="D1465">
        <v>70.3</v>
      </c>
      <c r="E1465">
        <v>60.9</v>
      </c>
      <c r="G1465" t="s">
        <v>3</v>
      </c>
      <c r="I1465" t="s">
        <v>3</v>
      </c>
      <c r="J1465" t="s">
        <v>3</v>
      </c>
      <c r="K1465" t="s">
        <v>3</v>
      </c>
      <c r="M1465" t="s">
        <v>3</v>
      </c>
    </row>
    <row r="1466" spans="3:13" x14ac:dyDescent="0.2">
      <c r="C1466" s="9" t="s">
        <v>760</v>
      </c>
      <c r="D1466">
        <v>17.100000000000001</v>
      </c>
      <c r="E1466">
        <v>22.6</v>
      </c>
      <c r="G1466">
        <v>28</v>
      </c>
      <c r="I1466">
        <v>32.9</v>
      </c>
      <c r="J1466">
        <v>33.700000000000003</v>
      </c>
      <c r="K1466">
        <v>34.9</v>
      </c>
      <c r="M1466">
        <v>34.700000000000003</v>
      </c>
    </row>
    <row r="1467" spans="3:13" x14ac:dyDescent="0.2">
      <c r="C1467" s="9" t="s">
        <v>761</v>
      </c>
      <c r="D1467">
        <v>23.6</v>
      </c>
      <c r="E1467">
        <v>38</v>
      </c>
      <c r="G1467">
        <v>42.2</v>
      </c>
      <c r="I1467">
        <v>38</v>
      </c>
      <c r="J1467">
        <v>32.9</v>
      </c>
      <c r="K1467">
        <v>28.1</v>
      </c>
      <c r="M1467">
        <v>21.6</v>
      </c>
    </row>
    <row r="1468" spans="3:13" x14ac:dyDescent="0.2">
      <c r="C1468" s="9" t="s">
        <v>762</v>
      </c>
      <c r="D1468">
        <v>129</v>
      </c>
      <c r="E1468">
        <v>64.400000000000006</v>
      </c>
      <c r="G1468">
        <v>20.6</v>
      </c>
      <c r="I1468">
        <v>14.5</v>
      </c>
      <c r="J1468">
        <v>11.7</v>
      </c>
      <c r="K1468">
        <v>10.8</v>
      </c>
      <c r="M1468">
        <v>9.6</v>
      </c>
    </row>
    <row r="1469" spans="3:13" x14ac:dyDescent="0.2">
      <c r="C1469" s="22" t="s">
        <v>763</v>
      </c>
      <c r="D1469" s="14">
        <v>5.7</v>
      </c>
      <c r="E1469" s="14">
        <v>5.8</v>
      </c>
      <c r="F1469" s="14"/>
      <c r="G1469" s="14">
        <v>5.9</v>
      </c>
      <c r="H1469" s="14"/>
      <c r="I1469" s="14">
        <v>8</v>
      </c>
      <c r="J1469" s="14">
        <v>11</v>
      </c>
      <c r="K1469" s="14">
        <v>11.6</v>
      </c>
      <c r="L1469" s="14"/>
      <c r="M1469" s="14">
        <v>13.4</v>
      </c>
    </row>
    <row r="1470" spans="3:13" x14ac:dyDescent="0.2">
      <c r="C1470" s="9" t="s">
        <v>705</v>
      </c>
      <c r="D1470">
        <v>6.6</v>
      </c>
      <c r="E1470">
        <v>7</v>
      </c>
      <c r="F1470" s="19">
        <f>1/2*(E1470+G1470)</f>
        <v>7.95</v>
      </c>
      <c r="G1470">
        <v>8.9</v>
      </c>
      <c r="H1470" s="19">
        <f>1/2*(G1470+I1470)</f>
        <v>10</v>
      </c>
      <c r="I1470">
        <v>11.1</v>
      </c>
      <c r="J1470" s="4">
        <v>12.2</v>
      </c>
      <c r="K1470">
        <v>12</v>
      </c>
      <c r="L1470" s="19">
        <f>1/2*(K1470+M1470)</f>
        <v>11.9</v>
      </c>
      <c r="M1470" s="4">
        <v>11.8</v>
      </c>
    </row>
    <row r="1471" spans="3:13" x14ac:dyDescent="0.2">
      <c r="C1471" s="9"/>
    </row>
    <row r="1472" spans="3:13" x14ac:dyDescent="0.2">
      <c r="C1472" s="9" t="s">
        <v>764</v>
      </c>
      <c r="D1472">
        <v>70.3</v>
      </c>
      <c r="E1472">
        <v>60.1</v>
      </c>
      <c r="G1472" t="s">
        <v>3</v>
      </c>
      <c r="I1472">
        <v>17</v>
      </c>
      <c r="J1472">
        <v>17.399999999999999</v>
      </c>
      <c r="K1472">
        <v>19.100000000000001</v>
      </c>
      <c r="M1472">
        <v>24.8</v>
      </c>
    </row>
    <row r="1473" spans="3:13" x14ac:dyDescent="0.2">
      <c r="C1473" s="9" t="s">
        <v>765</v>
      </c>
      <c r="D1473">
        <v>17.100000000000001</v>
      </c>
      <c r="E1473">
        <v>22.6</v>
      </c>
      <c r="G1473">
        <v>28.6</v>
      </c>
      <c r="I1473">
        <v>35.4</v>
      </c>
      <c r="J1473">
        <v>37.1</v>
      </c>
      <c r="K1473">
        <v>39</v>
      </c>
      <c r="M1473">
        <v>39.5</v>
      </c>
    </row>
    <row r="1474" spans="3:13" x14ac:dyDescent="0.2">
      <c r="C1474" s="9" t="s">
        <v>766</v>
      </c>
      <c r="D1474">
        <v>23.6</v>
      </c>
      <c r="E1474">
        <v>38</v>
      </c>
      <c r="G1474">
        <v>42.2</v>
      </c>
      <c r="I1474">
        <v>38</v>
      </c>
      <c r="J1474">
        <v>32.9</v>
      </c>
      <c r="K1474">
        <v>28.1</v>
      </c>
      <c r="M1474">
        <v>21.6</v>
      </c>
    </row>
    <row r="1475" spans="3:13" x14ac:dyDescent="0.2">
      <c r="C1475" s="9" t="s">
        <v>767</v>
      </c>
      <c r="D1475">
        <v>129</v>
      </c>
      <c r="E1475">
        <v>64.400000000000006</v>
      </c>
      <c r="G1475">
        <v>20.6</v>
      </c>
      <c r="I1475">
        <v>14.5</v>
      </c>
      <c r="J1475">
        <v>11.7</v>
      </c>
      <c r="K1475">
        <v>10.8</v>
      </c>
      <c r="M1475">
        <v>9.6</v>
      </c>
    </row>
    <row r="1476" spans="3:13" x14ac:dyDescent="0.2">
      <c r="C1476" s="22" t="s">
        <v>768</v>
      </c>
      <c r="D1476" s="14">
        <v>5.7</v>
      </c>
      <c r="E1476" s="14">
        <v>5.8</v>
      </c>
      <c r="F1476" s="14"/>
      <c r="G1476" s="14">
        <v>5.9</v>
      </c>
      <c r="H1476" s="14"/>
      <c r="I1476" s="14">
        <v>6</v>
      </c>
      <c r="J1476" s="14">
        <v>5.2</v>
      </c>
      <c r="K1476" s="14">
        <v>5.3</v>
      </c>
      <c r="L1476" s="14"/>
      <c r="M1476" s="14" t="s">
        <v>3</v>
      </c>
    </row>
    <row r="1477" spans="3:13" x14ac:dyDescent="0.2">
      <c r="C1477" s="9" t="s">
        <v>701</v>
      </c>
      <c r="D1477">
        <v>6.6</v>
      </c>
      <c r="E1477">
        <v>7</v>
      </c>
      <c r="F1477" s="107">
        <f>1/2*(E1477+G1477)</f>
        <v>7.95</v>
      </c>
      <c r="G1477">
        <v>8.9</v>
      </c>
      <c r="H1477" s="107">
        <f>1/2*(G1477+I1477)</f>
        <v>10.15</v>
      </c>
      <c r="I1477">
        <v>11.4</v>
      </c>
      <c r="J1477" s="4">
        <v>13</v>
      </c>
      <c r="K1477">
        <v>12.8</v>
      </c>
      <c r="L1477" s="107">
        <f>1/2*(K1477+M1477)</f>
        <v>12.55</v>
      </c>
      <c r="M1477" s="4">
        <v>12.3</v>
      </c>
    </row>
    <row r="1478" spans="3:13" x14ac:dyDescent="0.2">
      <c r="C1478" s="9"/>
    </row>
    <row r="1479" spans="3:13" x14ac:dyDescent="0.2">
      <c r="C1479" s="9" t="s">
        <v>769</v>
      </c>
      <c r="D1479">
        <v>70.3</v>
      </c>
      <c r="E1479">
        <v>60.1</v>
      </c>
      <c r="G1479">
        <v>15.5</v>
      </c>
      <c r="I1479">
        <v>16.600000000000001</v>
      </c>
      <c r="J1479">
        <v>17.100000000000001</v>
      </c>
      <c r="K1479">
        <v>18.5</v>
      </c>
      <c r="M1479">
        <v>20.100000000000001</v>
      </c>
    </row>
    <row r="1480" spans="3:13" x14ac:dyDescent="0.2">
      <c r="C1480" s="9" t="s">
        <v>770</v>
      </c>
      <c r="D1480">
        <v>17.100000000000001</v>
      </c>
      <c r="E1480">
        <v>22.6</v>
      </c>
      <c r="G1480">
        <v>28.6</v>
      </c>
      <c r="I1480">
        <v>35.4</v>
      </c>
      <c r="J1480">
        <v>37.1</v>
      </c>
      <c r="K1480">
        <v>39</v>
      </c>
      <c r="M1480">
        <v>39.5</v>
      </c>
    </row>
    <row r="1481" spans="3:13" x14ac:dyDescent="0.2">
      <c r="C1481" s="9" t="s">
        <v>771</v>
      </c>
      <c r="D1481">
        <v>23.6</v>
      </c>
      <c r="E1481">
        <v>38</v>
      </c>
      <c r="G1481">
        <v>44.1</v>
      </c>
      <c r="I1481">
        <v>41.3</v>
      </c>
      <c r="J1481">
        <v>38.200000000000003</v>
      </c>
      <c r="K1481">
        <v>37.5</v>
      </c>
      <c r="M1481">
        <v>34.5</v>
      </c>
    </row>
    <row r="1482" spans="3:13" x14ac:dyDescent="0.2">
      <c r="C1482" s="9" t="s">
        <v>772</v>
      </c>
      <c r="D1482">
        <v>129</v>
      </c>
      <c r="E1482">
        <v>64.400000000000006</v>
      </c>
      <c r="G1482">
        <v>23.8</v>
      </c>
      <c r="I1482">
        <v>14.6</v>
      </c>
      <c r="J1482">
        <v>11.3</v>
      </c>
      <c r="K1482">
        <v>10.6</v>
      </c>
      <c r="M1482">
        <v>9.3000000000000007</v>
      </c>
    </row>
    <row r="1483" spans="3:13" x14ac:dyDescent="0.2">
      <c r="C1483" s="22" t="s">
        <v>773</v>
      </c>
      <c r="D1483" s="14">
        <v>5.7</v>
      </c>
      <c r="E1483" s="14">
        <v>5.8</v>
      </c>
      <c r="F1483" s="14"/>
      <c r="G1483" s="14">
        <v>5.9</v>
      </c>
      <c r="H1483" s="14"/>
      <c r="I1483" s="14">
        <v>6</v>
      </c>
      <c r="J1483" s="14">
        <v>5.2</v>
      </c>
      <c r="K1483" s="14">
        <v>5.3</v>
      </c>
      <c r="L1483" s="14"/>
      <c r="M1483" s="14" t="s">
        <v>3</v>
      </c>
    </row>
    <row r="1484" spans="3:13" x14ac:dyDescent="0.2">
      <c r="C1484" s="9" t="s">
        <v>700</v>
      </c>
      <c r="D1484">
        <v>6.6</v>
      </c>
      <c r="E1484">
        <v>7</v>
      </c>
      <c r="F1484" s="107">
        <f>1/2*(E1484+G1484)</f>
        <v>7.9</v>
      </c>
      <c r="G1484">
        <v>8.8000000000000007</v>
      </c>
      <c r="H1484" s="107">
        <f>1/2*(G1484+I1484)</f>
        <v>9.9</v>
      </c>
      <c r="I1484">
        <v>11</v>
      </c>
      <c r="J1484" s="4">
        <v>12.9</v>
      </c>
      <c r="K1484">
        <v>12.9</v>
      </c>
      <c r="L1484" s="107">
        <f>1/2*(K1484+M1484)</f>
        <v>12.95</v>
      </c>
      <c r="M1484" s="4">
        <v>13</v>
      </c>
    </row>
    <row r="1485" spans="3:13" x14ac:dyDescent="0.2">
      <c r="C1485" s="9"/>
    </row>
    <row r="1486" spans="3:13" x14ac:dyDescent="0.2">
      <c r="C1486" s="9" t="s">
        <v>774</v>
      </c>
      <c r="D1486">
        <v>70.3</v>
      </c>
      <c r="E1486">
        <v>60.1</v>
      </c>
      <c r="G1486" t="s">
        <v>3</v>
      </c>
      <c r="I1486" t="s">
        <v>3</v>
      </c>
      <c r="J1486" t="s">
        <v>3</v>
      </c>
      <c r="K1486" t="s">
        <v>3</v>
      </c>
      <c r="M1486" t="s">
        <v>3</v>
      </c>
    </row>
    <row r="1487" spans="3:13" x14ac:dyDescent="0.2">
      <c r="C1487" s="9" t="s">
        <v>775</v>
      </c>
      <c r="D1487">
        <v>17.100000000000001</v>
      </c>
      <c r="E1487">
        <v>22.6</v>
      </c>
      <c r="G1487">
        <v>28.6</v>
      </c>
      <c r="I1487">
        <v>35.4</v>
      </c>
      <c r="J1487">
        <v>37.1</v>
      </c>
      <c r="K1487">
        <v>39</v>
      </c>
      <c r="M1487">
        <v>39.5</v>
      </c>
    </row>
    <row r="1488" spans="3:13" x14ac:dyDescent="0.2">
      <c r="C1488" s="9" t="s">
        <v>776</v>
      </c>
      <c r="D1488">
        <v>23.6</v>
      </c>
      <c r="E1488">
        <v>38</v>
      </c>
      <c r="G1488">
        <v>42.2</v>
      </c>
      <c r="I1488">
        <v>38</v>
      </c>
      <c r="J1488">
        <v>32.9</v>
      </c>
      <c r="K1488">
        <v>28.1</v>
      </c>
      <c r="M1488">
        <v>21.6</v>
      </c>
    </row>
    <row r="1489" spans="2:14" x14ac:dyDescent="0.2">
      <c r="C1489" s="9" t="s">
        <v>777</v>
      </c>
      <c r="D1489">
        <v>129</v>
      </c>
      <c r="E1489">
        <v>64.400000000000006</v>
      </c>
      <c r="G1489">
        <v>20.6</v>
      </c>
      <c r="I1489">
        <v>14.5</v>
      </c>
      <c r="J1489">
        <v>11.7</v>
      </c>
      <c r="K1489">
        <v>10.8</v>
      </c>
      <c r="M1489">
        <v>9.6</v>
      </c>
    </row>
    <row r="1490" spans="2:14" x14ac:dyDescent="0.2">
      <c r="C1490" s="22" t="s">
        <v>778</v>
      </c>
      <c r="D1490" s="14">
        <v>5.7</v>
      </c>
      <c r="E1490" s="14">
        <v>5.8</v>
      </c>
      <c r="F1490" s="14"/>
      <c r="G1490" s="14">
        <v>5.9</v>
      </c>
      <c r="H1490" s="14"/>
      <c r="I1490" s="14">
        <v>7.6</v>
      </c>
      <c r="J1490" s="14">
        <v>10.7</v>
      </c>
      <c r="K1490" s="14">
        <v>11.3</v>
      </c>
      <c r="L1490" s="14"/>
      <c r="M1490" s="14">
        <v>13.4</v>
      </c>
    </row>
    <row r="1491" spans="2:14" x14ac:dyDescent="0.2">
      <c r="C1491" s="9" t="s">
        <v>702</v>
      </c>
      <c r="D1491">
        <v>6.6</v>
      </c>
      <c r="E1491">
        <v>7</v>
      </c>
      <c r="F1491" s="107">
        <f>1/2*(E1491+G1491)</f>
        <v>7.95</v>
      </c>
      <c r="G1491">
        <v>8.9</v>
      </c>
      <c r="H1491" s="107">
        <f>1/2*(G1491+I1491)</f>
        <v>10.050000000000001</v>
      </c>
      <c r="I1491">
        <v>11.2</v>
      </c>
      <c r="J1491" s="4">
        <v>12.4</v>
      </c>
      <c r="K1491">
        <v>12.1</v>
      </c>
      <c r="L1491" s="107">
        <f>1/2*(K1491+M1491)</f>
        <v>12</v>
      </c>
      <c r="M1491" s="4">
        <v>11.9</v>
      </c>
    </row>
    <row r="1492" spans="2:14" ht="15" x14ac:dyDescent="0.25">
      <c r="C1492" s="2"/>
    </row>
    <row r="1494" spans="2:14" ht="15" x14ac:dyDescent="0.25">
      <c r="B1494" s="2" t="s">
        <v>1005</v>
      </c>
    </row>
    <row r="1495" spans="2:14" x14ac:dyDescent="0.2">
      <c r="B1495" s="13" t="s">
        <v>684</v>
      </c>
    </row>
    <row r="1496" spans="2:14" x14ac:dyDescent="0.2">
      <c r="C1496" t="s">
        <v>694</v>
      </c>
      <c r="D1496">
        <v>23</v>
      </c>
      <c r="E1496">
        <v>23.6</v>
      </c>
      <c r="F1496" s="107">
        <f>1/2*(E1496+G1496)</f>
        <v>24.65</v>
      </c>
      <c r="G1496">
        <v>25.7</v>
      </c>
      <c r="H1496" s="107">
        <f>1/2*(G1496+I1496)</f>
        <v>26.75</v>
      </c>
      <c r="I1496">
        <v>27.8</v>
      </c>
      <c r="J1496">
        <v>29.3</v>
      </c>
      <c r="K1496">
        <v>28.7</v>
      </c>
      <c r="L1496" s="107">
        <f>1/2*(K1496+M1496)</f>
        <v>28.75</v>
      </c>
      <c r="M1496">
        <v>28.8</v>
      </c>
      <c r="N1496" t="s">
        <v>1004</v>
      </c>
    </row>
    <row r="1497" spans="2:14" x14ac:dyDescent="0.2">
      <c r="C1497" t="s">
        <v>1003</v>
      </c>
      <c r="D1497">
        <v>23</v>
      </c>
      <c r="E1497">
        <v>23.6</v>
      </c>
      <c r="F1497" s="107">
        <f>1/2*(E1497+G1497)</f>
        <v>25.35</v>
      </c>
      <c r="G1497">
        <v>27.1</v>
      </c>
      <c r="H1497" s="107">
        <f>1/2*(G1497+I1497)</f>
        <v>28.85</v>
      </c>
      <c r="I1497">
        <v>30.6</v>
      </c>
      <c r="J1497">
        <v>32.1</v>
      </c>
      <c r="K1497">
        <v>32.299999999999997</v>
      </c>
      <c r="L1497" s="107">
        <f>1/2*(K1497+M1497)</f>
        <v>32.950000000000003</v>
      </c>
      <c r="M1497">
        <v>33.6</v>
      </c>
      <c r="N1497" t="s">
        <v>685</v>
      </c>
    </row>
    <row r="1499" spans="2:14" x14ac:dyDescent="0.2">
      <c r="C1499" s="9"/>
    </row>
    <row r="1500" spans="2:14" ht="15" x14ac:dyDescent="0.25">
      <c r="B1500" s="2" t="s">
        <v>726</v>
      </c>
      <c r="C1500" s="9"/>
    </row>
    <row r="1501" spans="2:14" ht="15" x14ac:dyDescent="0.25">
      <c r="B1501" s="2"/>
      <c r="C1501" s="9" t="s">
        <v>727</v>
      </c>
      <c r="D1501" s="2">
        <v>2000</v>
      </c>
      <c r="E1501" s="2">
        <v>2010</v>
      </c>
      <c r="F1501" s="2">
        <v>2015</v>
      </c>
      <c r="G1501" s="2">
        <v>2020</v>
      </c>
      <c r="H1501" s="2">
        <v>2025</v>
      </c>
      <c r="I1501" s="2">
        <v>2030</v>
      </c>
      <c r="J1501" s="2">
        <v>2035</v>
      </c>
      <c r="K1501" s="2">
        <v>2040</v>
      </c>
      <c r="L1501" s="2">
        <v>2045</v>
      </c>
      <c r="M1501" s="2">
        <v>2050</v>
      </c>
    </row>
    <row r="1502" spans="2:14" x14ac:dyDescent="0.2">
      <c r="C1502" s="9" t="s">
        <v>728</v>
      </c>
      <c r="G1502">
        <v>4539</v>
      </c>
      <c r="J1502">
        <v>5147</v>
      </c>
      <c r="M1502">
        <v>5930</v>
      </c>
    </row>
    <row r="1503" spans="2:14" x14ac:dyDescent="0.2">
      <c r="C1503" s="9" t="s">
        <v>729</v>
      </c>
      <c r="G1503" s="20">
        <f>439-1/2*G1510</f>
        <v>424</v>
      </c>
      <c r="J1503" s="20">
        <f>1094-1/2*J1510</f>
        <v>1060</v>
      </c>
      <c r="M1503" s="20">
        <f>1095-1/2*M1510</f>
        <v>1060</v>
      </c>
    </row>
    <row r="1504" spans="2:14" x14ac:dyDescent="0.2">
      <c r="C1504" s="9" t="s">
        <v>730</v>
      </c>
      <c r="G1504">
        <v>231</v>
      </c>
      <c r="J1504">
        <v>520</v>
      </c>
      <c r="M1504">
        <v>544</v>
      </c>
    </row>
    <row r="1505" spans="3:13" x14ac:dyDescent="0.2">
      <c r="C1505" s="9" t="s">
        <v>731</v>
      </c>
      <c r="G1505">
        <v>67</v>
      </c>
      <c r="J1505">
        <v>191</v>
      </c>
      <c r="M1505">
        <v>200</v>
      </c>
    </row>
    <row r="1506" spans="3:13" x14ac:dyDescent="0.2">
      <c r="C1506" s="9" t="s">
        <v>732</v>
      </c>
      <c r="G1506">
        <v>162</v>
      </c>
      <c r="J1506">
        <v>359</v>
      </c>
      <c r="M1506">
        <v>377</v>
      </c>
    </row>
    <row r="1507" spans="3:13" x14ac:dyDescent="0.2">
      <c r="C1507" s="9" t="s">
        <v>733</v>
      </c>
      <c r="G1507">
        <v>256</v>
      </c>
      <c r="J1507" s="77">
        <v>2440</v>
      </c>
      <c r="M1507" s="77">
        <v>5839</v>
      </c>
    </row>
    <row r="1508" spans="3:13" x14ac:dyDescent="0.2">
      <c r="C1508" s="9" t="s">
        <v>734</v>
      </c>
      <c r="G1508">
        <v>108</v>
      </c>
      <c r="J1508">
        <v>738</v>
      </c>
      <c r="M1508" s="77">
        <v>1372</v>
      </c>
    </row>
    <row r="1509" spans="3:13" x14ac:dyDescent="0.2">
      <c r="C1509" s="9" t="s">
        <v>735</v>
      </c>
      <c r="G1509">
        <v>88</v>
      </c>
      <c r="J1509">
        <v>365</v>
      </c>
      <c r="M1509">
        <v>399</v>
      </c>
    </row>
    <row r="1510" spans="3:13" x14ac:dyDescent="0.2">
      <c r="C1510" s="9" t="s">
        <v>736</v>
      </c>
      <c r="G1510">
        <v>30</v>
      </c>
      <c r="J1510">
        <v>68</v>
      </c>
      <c r="M1510">
        <v>70</v>
      </c>
    </row>
    <row r="1511" spans="3:13" x14ac:dyDescent="0.2">
      <c r="C1511" s="9" t="s">
        <v>744</v>
      </c>
      <c r="G1511">
        <v>5016</v>
      </c>
      <c r="J1511">
        <v>6432</v>
      </c>
      <c r="M1511">
        <v>8550</v>
      </c>
    </row>
    <row r="1512" spans="3:13" x14ac:dyDescent="0.2">
      <c r="C1512" s="9" t="s">
        <v>745</v>
      </c>
      <c r="G1512" s="20">
        <f>527-1/2*G1519</f>
        <v>347</v>
      </c>
      <c r="J1512" s="20">
        <f>1397-1/2*J1519</f>
        <v>1216</v>
      </c>
      <c r="M1512" s="20">
        <f>1444-1/2*M1519</f>
        <v>1259</v>
      </c>
    </row>
    <row r="1513" spans="3:13" x14ac:dyDescent="0.2">
      <c r="C1513" s="9" t="s">
        <v>743</v>
      </c>
      <c r="G1513">
        <v>405</v>
      </c>
      <c r="J1513">
        <v>1075</v>
      </c>
      <c r="M1513">
        <v>1104</v>
      </c>
    </row>
    <row r="1514" spans="3:13" x14ac:dyDescent="0.2">
      <c r="C1514" s="9" t="s">
        <v>737</v>
      </c>
      <c r="G1514">
        <v>67</v>
      </c>
      <c r="J1514">
        <v>191</v>
      </c>
      <c r="M1514">
        <v>200</v>
      </c>
    </row>
    <row r="1515" spans="3:13" x14ac:dyDescent="0.2">
      <c r="C1515" s="9" t="s">
        <v>738</v>
      </c>
      <c r="G1515">
        <v>357</v>
      </c>
      <c r="J1515">
        <v>1330</v>
      </c>
      <c r="M1515">
        <v>1427</v>
      </c>
    </row>
    <row r="1516" spans="3:13" x14ac:dyDescent="0.2">
      <c r="C1516" s="9" t="s">
        <v>739</v>
      </c>
      <c r="G1516">
        <v>434</v>
      </c>
      <c r="J1516">
        <v>4355</v>
      </c>
      <c r="M1516">
        <v>11036</v>
      </c>
    </row>
    <row r="1517" spans="3:13" x14ac:dyDescent="0.2">
      <c r="C1517" s="9" t="s">
        <v>740</v>
      </c>
      <c r="G1517">
        <v>624</v>
      </c>
      <c r="J1517">
        <v>1723</v>
      </c>
      <c r="M1517">
        <v>4222</v>
      </c>
    </row>
    <row r="1518" spans="3:13" x14ac:dyDescent="0.2">
      <c r="C1518" s="9" t="s">
        <v>741</v>
      </c>
      <c r="G1518">
        <v>182</v>
      </c>
      <c r="J1518">
        <v>1418</v>
      </c>
      <c r="M1518">
        <v>4384</v>
      </c>
    </row>
    <row r="1519" spans="3:13" x14ac:dyDescent="0.2">
      <c r="C1519" s="9" t="s">
        <v>742</v>
      </c>
      <c r="G1519">
        <v>360</v>
      </c>
      <c r="J1519">
        <v>362</v>
      </c>
      <c r="M1519">
        <v>370</v>
      </c>
    </row>
    <row r="1520" spans="3:13" x14ac:dyDescent="0.2">
      <c r="C1520" s="9"/>
    </row>
    <row r="1521" spans="2:13" x14ac:dyDescent="0.2">
      <c r="C1521" s="9"/>
    </row>
    <row r="1522" spans="2:13" ht="15" x14ac:dyDescent="0.25">
      <c r="B1522" s="2" t="s">
        <v>1046</v>
      </c>
      <c r="C1522" s="9"/>
    </row>
    <row r="1523" spans="2:13" ht="15" x14ac:dyDescent="0.25">
      <c r="B1523" s="13" t="s">
        <v>310</v>
      </c>
      <c r="C1523" s="9"/>
      <c r="D1523" s="2">
        <v>2000</v>
      </c>
      <c r="E1523" s="2">
        <v>2010</v>
      </c>
      <c r="F1523" s="2">
        <v>2015</v>
      </c>
      <c r="G1523" s="2">
        <v>2020</v>
      </c>
      <c r="H1523" s="2">
        <v>2025</v>
      </c>
      <c r="I1523" s="2">
        <v>2030</v>
      </c>
      <c r="J1523" s="2">
        <v>2035</v>
      </c>
      <c r="K1523" s="2">
        <v>2040</v>
      </c>
      <c r="L1523" s="2">
        <v>2045</v>
      </c>
      <c r="M1523" s="2">
        <v>2050</v>
      </c>
    </row>
    <row r="1524" spans="2:13" x14ac:dyDescent="0.2">
      <c r="C1524" s="9" t="s">
        <v>1039</v>
      </c>
      <c r="D1524" s="35">
        <v>0</v>
      </c>
      <c r="E1524" s="10">
        <v>0</v>
      </c>
      <c r="G1524" s="10">
        <v>0.01</v>
      </c>
      <c r="I1524" s="10">
        <v>7.0000000000000007E-2</v>
      </c>
      <c r="J1524" s="10">
        <v>0.13</v>
      </c>
      <c r="K1524" s="10">
        <v>0.2</v>
      </c>
      <c r="M1524" s="10">
        <v>0.3</v>
      </c>
    </row>
    <row r="1525" spans="2:13" x14ac:dyDescent="0.2">
      <c r="C1525" s="9" t="s">
        <v>1040</v>
      </c>
      <c r="D1525" s="10">
        <v>0</v>
      </c>
      <c r="E1525" s="10">
        <v>0</v>
      </c>
      <c r="G1525" s="10">
        <v>0</v>
      </c>
      <c r="H1525" s="10"/>
      <c r="I1525" s="10">
        <v>0.03</v>
      </c>
      <c r="J1525" s="10">
        <v>0.04</v>
      </c>
      <c r="K1525" s="10">
        <v>5.5E-2</v>
      </c>
      <c r="M1525" s="10">
        <v>0.08</v>
      </c>
    </row>
    <row r="1526" spans="2:13" x14ac:dyDescent="0.2">
      <c r="C1526" s="9" t="s">
        <v>1041</v>
      </c>
      <c r="D1526" s="10">
        <v>0</v>
      </c>
      <c r="E1526" s="10">
        <v>0</v>
      </c>
      <c r="G1526" s="10">
        <v>0.01</v>
      </c>
      <c r="I1526" s="10">
        <v>0.06</v>
      </c>
      <c r="J1526" s="10">
        <v>0.1</v>
      </c>
      <c r="K1526" s="10">
        <v>0.15</v>
      </c>
      <c r="M1526" s="10">
        <v>0.23</v>
      </c>
    </row>
    <row r="1527" spans="2:13" x14ac:dyDescent="0.2">
      <c r="C1527" s="9" t="s">
        <v>1042</v>
      </c>
      <c r="D1527" s="10">
        <v>0</v>
      </c>
      <c r="E1527" s="10">
        <v>0</v>
      </c>
      <c r="G1527" s="10">
        <v>0</v>
      </c>
      <c r="I1527" s="10">
        <v>1.4999999999999999E-2</v>
      </c>
      <c r="J1527" s="10">
        <v>2.5000000000000001E-2</v>
      </c>
      <c r="K1527" s="10">
        <v>0.04</v>
      </c>
      <c r="M1527" s="10">
        <v>0.06</v>
      </c>
    </row>
    <row r="1528" spans="2:13" x14ac:dyDescent="0.2">
      <c r="C1528" s="9" t="s">
        <v>1044</v>
      </c>
      <c r="D1528" s="35">
        <v>0</v>
      </c>
      <c r="E1528" s="10">
        <v>0</v>
      </c>
      <c r="G1528" s="10">
        <v>0.02</v>
      </c>
      <c r="I1528" s="10">
        <v>0.11</v>
      </c>
      <c r="J1528" s="10">
        <v>0.2</v>
      </c>
      <c r="K1528" s="10">
        <v>0.28000000000000003</v>
      </c>
      <c r="M1528" s="10">
        <v>0.41</v>
      </c>
    </row>
    <row r="1529" spans="2:13" x14ac:dyDescent="0.2">
      <c r="C1529" s="9" t="s">
        <v>1045</v>
      </c>
      <c r="D1529" s="10">
        <v>0</v>
      </c>
      <c r="E1529" s="10">
        <v>0</v>
      </c>
      <c r="G1529" s="10">
        <v>1.4999999999999999E-2</v>
      </c>
      <c r="H1529" s="10"/>
      <c r="I1529" s="10">
        <v>8.5000000000000006E-2</v>
      </c>
      <c r="J1529" s="10">
        <v>0.13500000000000001</v>
      </c>
      <c r="K1529" s="10">
        <v>0.185</v>
      </c>
      <c r="M1529" s="10">
        <v>0.22500000000000001</v>
      </c>
    </row>
    <row r="1530" spans="2:13" x14ac:dyDescent="0.2">
      <c r="C1530" s="9" t="s">
        <v>1053</v>
      </c>
      <c r="D1530" s="10">
        <v>0</v>
      </c>
      <c r="E1530" s="10">
        <v>0</v>
      </c>
      <c r="G1530" s="10">
        <v>0.02</v>
      </c>
      <c r="I1530" s="10">
        <v>0.13</v>
      </c>
      <c r="J1530" s="10">
        <v>0.21</v>
      </c>
      <c r="K1530" s="10">
        <v>0.3</v>
      </c>
      <c r="M1530" s="10">
        <v>0.46</v>
      </c>
    </row>
    <row r="1531" spans="2:13" x14ac:dyDescent="0.2">
      <c r="C1531" s="9" t="s">
        <v>1054</v>
      </c>
      <c r="D1531" s="10">
        <v>0</v>
      </c>
      <c r="E1531" s="10">
        <v>0</v>
      </c>
      <c r="G1531" s="10">
        <v>2.5000000000000001E-2</v>
      </c>
      <c r="I1531" s="10">
        <v>9.5000000000000001E-2</v>
      </c>
      <c r="J1531" s="10">
        <v>0.13500000000000001</v>
      </c>
      <c r="K1531" s="10">
        <v>0.17499999999999999</v>
      </c>
      <c r="M1531" s="10">
        <v>0.25</v>
      </c>
    </row>
    <row r="1532" spans="2:13" x14ac:dyDescent="0.2">
      <c r="C1532" s="9"/>
    </row>
    <row r="1533" spans="2:13" x14ac:dyDescent="0.2">
      <c r="C1533" s="9"/>
    </row>
    <row r="1534" spans="2:13" x14ac:dyDescent="0.2">
      <c r="C1534" s="9"/>
    </row>
    <row r="1535" spans="2:13" x14ac:dyDescent="0.2">
      <c r="C1535" s="9"/>
    </row>
    <row r="1536" spans="2:13" x14ac:dyDescent="0.2">
      <c r="C1536" s="9"/>
    </row>
    <row r="1537" spans="2:14" x14ac:dyDescent="0.2">
      <c r="C1537" s="9"/>
    </row>
    <row r="1538" spans="2:14" x14ac:dyDescent="0.2">
      <c r="C1538" s="9"/>
    </row>
    <row r="1539" spans="2:14" x14ac:dyDescent="0.2">
      <c r="C1539" s="9"/>
    </row>
    <row r="1540" spans="2:14" x14ac:dyDescent="0.2">
      <c r="C1540" s="9"/>
    </row>
    <row r="1541" spans="2:14" x14ac:dyDescent="0.2">
      <c r="C1541" s="9"/>
    </row>
    <row r="1542" spans="2:14" s="2" customFormat="1" ht="15" x14ac:dyDescent="0.25"/>
    <row r="1543" spans="2:14" s="2" customFormat="1" ht="15" x14ac:dyDescent="0.25">
      <c r="B1543" s="2" t="s">
        <v>565</v>
      </c>
    </row>
    <row r="1544" spans="2:14" s="2" customFormat="1" ht="15" x14ac:dyDescent="0.25">
      <c r="B1544" s="2" t="s">
        <v>566</v>
      </c>
    </row>
    <row r="1545" spans="2:14" s="2" customFormat="1" ht="15" x14ac:dyDescent="0.25">
      <c r="B1545" s="13" t="s">
        <v>567</v>
      </c>
      <c r="D1545" s="2">
        <v>2000</v>
      </c>
      <c r="E1545" s="2">
        <v>2010</v>
      </c>
      <c r="F1545" s="2">
        <v>2015</v>
      </c>
      <c r="G1545" s="2">
        <v>2020</v>
      </c>
      <c r="H1545" s="2">
        <v>2025</v>
      </c>
      <c r="I1545" s="2">
        <v>2030</v>
      </c>
      <c r="J1545" s="2">
        <v>2035</v>
      </c>
      <c r="K1545" s="2">
        <v>2040</v>
      </c>
      <c r="L1545" s="2">
        <v>2045</v>
      </c>
      <c r="M1545" s="2">
        <v>2050</v>
      </c>
      <c r="N1545" s="91">
        <v>2005</v>
      </c>
    </row>
    <row r="1546" spans="2:14" x14ac:dyDescent="0.2">
      <c r="C1546" t="s">
        <v>568</v>
      </c>
      <c r="D1546">
        <v>38.380000000000003</v>
      </c>
      <c r="E1546">
        <v>35.42</v>
      </c>
      <c r="F1546">
        <v>38.76</v>
      </c>
      <c r="G1546">
        <v>41.48</v>
      </c>
      <c r="H1546">
        <v>41.65</v>
      </c>
      <c r="I1546">
        <v>41.77</v>
      </c>
      <c r="J1546">
        <v>41.75</v>
      </c>
      <c r="K1546">
        <v>41.86</v>
      </c>
      <c r="L1546">
        <v>41.6</v>
      </c>
      <c r="M1546">
        <v>41.58</v>
      </c>
      <c r="N1546" s="92">
        <v>34.340000000000003</v>
      </c>
    </row>
    <row r="1547" spans="2:14" x14ac:dyDescent="0.2">
      <c r="C1547" t="s">
        <v>569</v>
      </c>
      <c r="D1547">
        <v>38.380000000000003</v>
      </c>
      <c r="E1547">
        <v>35.42</v>
      </c>
      <c r="F1547">
        <v>36.950000000000003</v>
      </c>
      <c r="G1547">
        <v>36.869999999999997</v>
      </c>
      <c r="H1547">
        <v>36.83</v>
      </c>
      <c r="I1547">
        <v>36.75</v>
      </c>
      <c r="J1547">
        <v>36.54</v>
      </c>
      <c r="K1547">
        <v>36.409999999999997</v>
      </c>
      <c r="L1547">
        <v>35.85</v>
      </c>
      <c r="M1547">
        <v>35.57</v>
      </c>
      <c r="N1547" s="92">
        <v>34.340000000000003</v>
      </c>
    </row>
    <row r="1548" spans="2:14" x14ac:dyDescent="0.2">
      <c r="C1548" t="s">
        <v>570</v>
      </c>
      <c r="D1548" t="s">
        <v>3</v>
      </c>
      <c r="E1548" t="s">
        <v>3</v>
      </c>
      <c r="F1548">
        <v>1.81</v>
      </c>
      <c r="G1548">
        <v>4.6100000000000003</v>
      </c>
      <c r="H1548">
        <v>4.82</v>
      </c>
      <c r="I1548">
        <v>5.01</v>
      </c>
      <c r="J1548">
        <v>5.21</v>
      </c>
      <c r="K1548">
        <v>5.45</v>
      </c>
      <c r="L1548">
        <v>5.75</v>
      </c>
      <c r="M1548">
        <v>6.01</v>
      </c>
      <c r="N1548" s="92" t="s">
        <v>3</v>
      </c>
    </row>
    <row r="1549" spans="2:14" x14ac:dyDescent="0.2">
      <c r="C1549" t="s">
        <v>571</v>
      </c>
      <c r="D1549">
        <v>24.73</v>
      </c>
      <c r="E1549">
        <v>25.13</v>
      </c>
      <c r="F1549">
        <v>24.58</v>
      </c>
      <c r="G1549">
        <v>21.68</v>
      </c>
      <c r="H1549">
        <v>15.98</v>
      </c>
      <c r="I1549">
        <v>8.81</v>
      </c>
      <c r="J1549">
        <v>0</v>
      </c>
      <c r="K1549">
        <v>0</v>
      </c>
      <c r="L1549">
        <v>0</v>
      </c>
      <c r="M1549">
        <v>0</v>
      </c>
      <c r="N1549" s="92">
        <v>21.9</v>
      </c>
    </row>
    <row r="1550" spans="2:14" x14ac:dyDescent="0.2">
      <c r="C1550" t="s">
        <v>573</v>
      </c>
      <c r="D1550">
        <v>1.79</v>
      </c>
      <c r="E1550">
        <v>2.1800000000000002</v>
      </c>
      <c r="F1550">
        <v>2.65</v>
      </c>
      <c r="G1550">
        <v>5.57</v>
      </c>
      <c r="H1550">
        <v>9.5299999999999994</v>
      </c>
      <c r="I1550">
        <v>15.34</v>
      </c>
      <c r="J1550">
        <v>29.32</v>
      </c>
      <c r="K1550">
        <v>29.22</v>
      </c>
      <c r="L1550">
        <v>30.22</v>
      </c>
      <c r="M1550">
        <v>30.5</v>
      </c>
      <c r="N1550" s="92">
        <v>2.0699999999999998</v>
      </c>
    </row>
    <row r="1551" spans="2:14" x14ac:dyDescent="0.2">
      <c r="C1551" t="s">
        <v>574</v>
      </c>
      <c r="D1551">
        <v>1.79</v>
      </c>
      <c r="E1551">
        <v>2.1800000000000002</v>
      </c>
      <c r="F1551">
        <v>1.76</v>
      </c>
      <c r="G1551">
        <v>1.48</v>
      </c>
      <c r="H1551">
        <v>0.92</v>
      </c>
      <c r="I1551">
        <v>0.57999999999999996</v>
      </c>
      <c r="J1551">
        <v>0.32</v>
      </c>
      <c r="K1551" t="s">
        <v>572</v>
      </c>
      <c r="L1551" t="s">
        <v>3</v>
      </c>
      <c r="M1551" t="s">
        <v>3</v>
      </c>
      <c r="N1551" s="92">
        <v>2.0699999999999998</v>
      </c>
    </row>
    <row r="1552" spans="2:14" x14ac:dyDescent="0.2">
      <c r="C1552" t="s">
        <v>575</v>
      </c>
      <c r="D1552" t="s">
        <v>3</v>
      </c>
      <c r="E1552" t="s">
        <v>3</v>
      </c>
      <c r="F1552" t="s">
        <v>3</v>
      </c>
      <c r="G1552">
        <v>2.59</v>
      </c>
      <c r="H1552">
        <v>6.41</v>
      </c>
      <c r="I1552">
        <v>12.06</v>
      </c>
      <c r="J1552">
        <v>26.08</v>
      </c>
      <c r="K1552">
        <v>26.12</v>
      </c>
      <c r="L1552">
        <v>27.11</v>
      </c>
      <c r="M1552">
        <v>27.39</v>
      </c>
      <c r="N1552" s="92" t="s">
        <v>3</v>
      </c>
    </row>
    <row r="1553" spans="3:14" x14ac:dyDescent="0.2">
      <c r="C1553" t="s">
        <v>576</v>
      </c>
      <c r="D1553" t="s">
        <v>3</v>
      </c>
      <c r="E1553" t="s">
        <v>3</v>
      </c>
      <c r="F1553">
        <v>0.89</v>
      </c>
      <c r="G1553">
        <v>1.49</v>
      </c>
      <c r="H1553">
        <v>2.2000000000000002</v>
      </c>
      <c r="I1553">
        <v>2.7</v>
      </c>
      <c r="J1553">
        <v>2.92</v>
      </c>
      <c r="K1553">
        <v>3.1</v>
      </c>
      <c r="L1553">
        <v>3.11</v>
      </c>
      <c r="M1553">
        <v>3.11</v>
      </c>
      <c r="N1553" s="92" t="s">
        <v>3</v>
      </c>
    </row>
    <row r="1554" spans="3:14" x14ac:dyDescent="0.2">
      <c r="C1554" t="s">
        <v>577</v>
      </c>
      <c r="D1554">
        <v>0.81</v>
      </c>
      <c r="E1554">
        <v>1.38</v>
      </c>
      <c r="F1554">
        <v>1.83</v>
      </c>
      <c r="G1554">
        <v>2.37</v>
      </c>
      <c r="H1554">
        <v>3.15</v>
      </c>
      <c r="I1554">
        <v>4.28</v>
      </c>
      <c r="J1554">
        <v>6.13</v>
      </c>
      <c r="K1554">
        <v>7.37</v>
      </c>
      <c r="L1554">
        <v>8.9</v>
      </c>
      <c r="M1554">
        <v>10.25</v>
      </c>
      <c r="N1554" s="92">
        <v>1.01</v>
      </c>
    </row>
    <row r="1555" spans="3:14" x14ac:dyDescent="0.2">
      <c r="C1555" t="s">
        <v>578</v>
      </c>
      <c r="D1555">
        <v>0.81</v>
      </c>
      <c r="E1555">
        <v>1.38</v>
      </c>
      <c r="F1555">
        <v>1.03</v>
      </c>
      <c r="G1555">
        <v>0.92</v>
      </c>
      <c r="H1555">
        <v>0.7</v>
      </c>
      <c r="I1555">
        <v>0.4</v>
      </c>
      <c r="J1555">
        <v>0.1</v>
      </c>
      <c r="K1555">
        <v>0.01</v>
      </c>
      <c r="L1555" t="s">
        <v>3</v>
      </c>
      <c r="M1555" t="s">
        <v>3</v>
      </c>
      <c r="N1555" s="92">
        <v>1.01</v>
      </c>
    </row>
    <row r="1556" spans="3:14" x14ac:dyDescent="0.2">
      <c r="C1556" t="s">
        <v>579</v>
      </c>
      <c r="D1556" t="s">
        <v>572</v>
      </c>
      <c r="E1556" t="s">
        <v>3</v>
      </c>
      <c r="F1556">
        <v>0.8</v>
      </c>
      <c r="G1556">
        <v>1.45</v>
      </c>
      <c r="H1556">
        <v>2.4500000000000002</v>
      </c>
      <c r="I1556">
        <v>3.88</v>
      </c>
      <c r="J1556">
        <v>6.03</v>
      </c>
      <c r="K1556">
        <v>7.36</v>
      </c>
      <c r="L1556">
        <v>8.9</v>
      </c>
      <c r="M1556">
        <v>10.25</v>
      </c>
      <c r="N1556" s="92" t="s">
        <v>3</v>
      </c>
    </row>
    <row r="1557" spans="3:14" x14ac:dyDescent="0.2">
      <c r="C1557" t="s">
        <v>580</v>
      </c>
      <c r="D1557">
        <v>0.01</v>
      </c>
      <c r="E1557">
        <v>0.08</v>
      </c>
      <c r="F1557">
        <v>0.21</v>
      </c>
      <c r="G1557">
        <v>0.34</v>
      </c>
      <c r="H1557">
        <v>0.55000000000000004</v>
      </c>
      <c r="I1557">
        <v>0.96</v>
      </c>
      <c r="J1557">
        <v>2.52</v>
      </c>
      <c r="K1557">
        <v>3.48</v>
      </c>
      <c r="L1557">
        <v>4.7300000000000004</v>
      </c>
      <c r="M1557">
        <v>5.92</v>
      </c>
      <c r="N1557" s="92">
        <v>0.02</v>
      </c>
    </row>
    <row r="1558" spans="3:14" x14ac:dyDescent="0.2">
      <c r="C1558" t="s">
        <v>581</v>
      </c>
      <c r="D1558">
        <v>0</v>
      </c>
      <c r="E1558">
        <v>0.04</v>
      </c>
      <c r="F1558">
        <v>0.09</v>
      </c>
      <c r="G1558">
        <v>0.14000000000000001</v>
      </c>
      <c r="H1558">
        <v>0.25</v>
      </c>
      <c r="I1558">
        <v>0.56999999999999995</v>
      </c>
      <c r="J1558">
        <v>0.77</v>
      </c>
      <c r="K1558">
        <v>1.02</v>
      </c>
      <c r="L1558">
        <v>1.25</v>
      </c>
      <c r="M1558">
        <v>1.41</v>
      </c>
      <c r="N1558" s="92">
        <v>0.01</v>
      </c>
    </row>
    <row r="1559" spans="3:14" x14ac:dyDescent="0.2">
      <c r="C1559" t="s">
        <v>582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 s="92">
        <v>0</v>
      </c>
    </row>
    <row r="1560" spans="3:14" x14ac:dyDescent="0.2">
      <c r="C1560" t="s">
        <v>47</v>
      </c>
      <c r="D1560" t="s">
        <v>572</v>
      </c>
      <c r="E1560" t="s">
        <v>3</v>
      </c>
      <c r="F1560">
        <v>0.03</v>
      </c>
      <c r="G1560">
        <v>0.1</v>
      </c>
      <c r="H1560">
        <v>0.2</v>
      </c>
      <c r="I1560">
        <v>0.33</v>
      </c>
      <c r="J1560">
        <v>0.39</v>
      </c>
      <c r="K1560">
        <v>0.39</v>
      </c>
      <c r="L1560">
        <v>0.42</v>
      </c>
      <c r="M1560">
        <v>0.42</v>
      </c>
      <c r="N1560" s="92" t="s">
        <v>572</v>
      </c>
    </row>
    <row r="1561" spans="3:14" x14ac:dyDescent="0.2">
      <c r="C1561" t="s">
        <v>583</v>
      </c>
      <c r="D1561">
        <v>0.01</v>
      </c>
      <c r="E1561">
        <v>0.14000000000000001</v>
      </c>
      <c r="F1561">
        <v>0.3</v>
      </c>
      <c r="G1561">
        <v>0.42</v>
      </c>
      <c r="H1561">
        <v>0.56999999999999995</v>
      </c>
      <c r="I1561">
        <v>0.69</v>
      </c>
      <c r="J1561">
        <v>0.65</v>
      </c>
      <c r="K1561">
        <v>0.67</v>
      </c>
      <c r="L1561">
        <v>0.68</v>
      </c>
      <c r="M1561">
        <v>0.68</v>
      </c>
      <c r="N1561" s="92">
        <v>0.03</v>
      </c>
    </row>
    <row r="1562" spans="3:14" x14ac:dyDescent="0.2">
      <c r="C1562" t="s">
        <v>584</v>
      </c>
      <c r="D1562">
        <v>0.01</v>
      </c>
      <c r="E1562">
        <v>0.08</v>
      </c>
      <c r="F1562">
        <v>0.16</v>
      </c>
      <c r="G1562">
        <v>0.26</v>
      </c>
      <c r="H1562">
        <v>0.38</v>
      </c>
      <c r="I1562">
        <v>0.48</v>
      </c>
      <c r="J1562">
        <v>0.51</v>
      </c>
      <c r="K1562">
        <v>0.52</v>
      </c>
      <c r="L1562">
        <v>0.53</v>
      </c>
      <c r="M1562">
        <v>0.53</v>
      </c>
      <c r="N1562" s="92">
        <v>0.02</v>
      </c>
    </row>
    <row r="1563" spans="3:14" x14ac:dyDescent="0.2">
      <c r="C1563" t="s">
        <v>585</v>
      </c>
      <c r="D1563">
        <v>0.09</v>
      </c>
      <c r="E1563">
        <v>0.12</v>
      </c>
      <c r="F1563">
        <v>0.1</v>
      </c>
      <c r="G1563">
        <v>0.16</v>
      </c>
      <c r="H1563">
        <v>0.22</v>
      </c>
      <c r="I1563">
        <v>0.27</v>
      </c>
      <c r="J1563">
        <v>0.28999999999999998</v>
      </c>
      <c r="K1563">
        <v>0.28999999999999998</v>
      </c>
      <c r="L1563">
        <v>0.3</v>
      </c>
      <c r="M1563">
        <v>0.3</v>
      </c>
      <c r="N1563" s="92">
        <v>0.11</v>
      </c>
    </row>
    <row r="1564" spans="3:14" x14ac:dyDescent="0.2">
      <c r="C1564" t="s">
        <v>586</v>
      </c>
      <c r="D1564">
        <v>0.63</v>
      </c>
      <c r="E1564">
        <v>0.92</v>
      </c>
      <c r="F1564">
        <v>0.94</v>
      </c>
      <c r="G1564">
        <v>0.94</v>
      </c>
      <c r="H1564">
        <v>0.97</v>
      </c>
      <c r="I1564">
        <v>0.98</v>
      </c>
      <c r="J1564">
        <v>0.98</v>
      </c>
      <c r="K1564">
        <v>0.99</v>
      </c>
      <c r="L1564">
        <v>0.99</v>
      </c>
      <c r="M1564">
        <v>0.99</v>
      </c>
      <c r="N1564" s="92">
        <v>0.8</v>
      </c>
    </row>
    <row r="1565" spans="3:14" x14ac:dyDescent="0.2">
      <c r="C1565" s="14" t="s">
        <v>587</v>
      </c>
      <c r="D1565" s="14">
        <v>0.04</v>
      </c>
      <c r="E1565" s="14">
        <v>0</v>
      </c>
      <c r="F1565" s="14">
        <v>0.01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93">
        <v>0.02</v>
      </c>
    </row>
    <row r="1566" spans="3:14" x14ac:dyDescent="0.2">
      <c r="C1566" t="s">
        <v>588</v>
      </c>
      <c r="D1566" s="20">
        <f t="shared" ref="D1566:I1566" si="826">D1546+D1549+D1550+D1554</f>
        <v>65.710000000000008</v>
      </c>
      <c r="E1566" s="20">
        <f t="shared" si="826"/>
        <v>64.11</v>
      </c>
      <c r="F1566" s="20">
        <f t="shared" si="826"/>
        <v>67.819999999999993</v>
      </c>
      <c r="G1566" s="20">
        <f t="shared" si="826"/>
        <v>71.099999999999994</v>
      </c>
      <c r="H1566" s="20">
        <f t="shared" si="826"/>
        <v>70.31</v>
      </c>
      <c r="I1566" s="20">
        <f t="shared" si="826"/>
        <v>70.2</v>
      </c>
      <c r="J1566" s="20">
        <f>J1546+J1550+J1554</f>
        <v>77.199999999999989</v>
      </c>
      <c r="K1566" s="20">
        <f>K1546+K1550+K1554</f>
        <v>78.45</v>
      </c>
      <c r="L1566" s="20">
        <f>L1546+L1550+L1554</f>
        <v>80.72</v>
      </c>
      <c r="M1566" s="20">
        <f>M1546+M1550+M1554</f>
        <v>82.33</v>
      </c>
      <c r="N1566" s="94">
        <f>N1546+N1549+N1550+N1554</f>
        <v>59.32</v>
      </c>
    </row>
    <row r="1567" spans="3:14" x14ac:dyDescent="0.2">
      <c r="C1567" t="s">
        <v>589</v>
      </c>
      <c r="D1567">
        <v>-2.2200000000000002</v>
      </c>
      <c r="E1567">
        <v>-2.56</v>
      </c>
      <c r="F1567">
        <v>-4.34</v>
      </c>
      <c r="G1567">
        <v>-7.54</v>
      </c>
      <c r="H1567">
        <v>-7.54</v>
      </c>
      <c r="I1567">
        <v>-7.54</v>
      </c>
      <c r="J1567">
        <v>-7.54</v>
      </c>
      <c r="K1567">
        <v>-7.54</v>
      </c>
      <c r="L1567">
        <v>-7.54</v>
      </c>
      <c r="M1567">
        <v>-7.54</v>
      </c>
      <c r="N1567" s="92">
        <v>-2.2200000000000002</v>
      </c>
    </row>
    <row r="1568" spans="3:14" x14ac:dyDescent="0.2">
      <c r="C1568" s="14" t="s">
        <v>590</v>
      </c>
      <c r="D1568" s="32">
        <f>D1566+D1567</f>
        <v>63.490000000000009</v>
      </c>
      <c r="E1568" s="32">
        <f t="shared" ref="E1568:M1568" si="827">E1566+E1567</f>
        <v>61.55</v>
      </c>
      <c r="F1568" s="32">
        <f t="shared" si="827"/>
        <v>63.47999999999999</v>
      </c>
      <c r="G1568" s="32">
        <f t="shared" si="827"/>
        <v>63.559999999999995</v>
      </c>
      <c r="H1568" s="32">
        <f t="shared" si="827"/>
        <v>62.77</v>
      </c>
      <c r="I1568" s="32">
        <f t="shared" si="827"/>
        <v>62.660000000000004</v>
      </c>
      <c r="J1568" s="32">
        <f t="shared" si="827"/>
        <v>69.659999999999982</v>
      </c>
      <c r="K1568" s="32">
        <f t="shared" si="827"/>
        <v>70.91</v>
      </c>
      <c r="L1568" s="32">
        <f t="shared" si="827"/>
        <v>73.179999999999993</v>
      </c>
      <c r="M1568" s="32">
        <f t="shared" si="827"/>
        <v>74.789999999999992</v>
      </c>
      <c r="N1568" s="95">
        <f>N1566+N1567</f>
        <v>57.1</v>
      </c>
    </row>
    <row r="1569" spans="2:14" x14ac:dyDescent="0.2">
      <c r="C1569" t="s">
        <v>591</v>
      </c>
      <c r="D1569">
        <v>18.72</v>
      </c>
      <c r="E1569">
        <v>17.239999999999998</v>
      </c>
      <c r="F1569">
        <v>17.239999999999998</v>
      </c>
      <c r="G1569">
        <v>10.06</v>
      </c>
      <c r="H1569">
        <v>8.42</v>
      </c>
      <c r="I1569">
        <v>8.42</v>
      </c>
      <c r="J1569">
        <v>2.61</v>
      </c>
      <c r="K1569">
        <v>1.3</v>
      </c>
      <c r="N1569" s="92">
        <v>17.98</v>
      </c>
    </row>
    <row r="1570" spans="2:14" x14ac:dyDescent="0.2">
      <c r="C1570" t="s">
        <v>592</v>
      </c>
      <c r="D1570">
        <v>18.72</v>
      </c>
      <c r="E1570">
        <v>17.239999999999998</v>
      </c>
      <c r="F1570">
        <v>17.239999999999998</v>
      </c>
      <c r="G1570">
        <v>10.06</v>
      </c>
      <c r="H1570">
        <v>8.42</v>
      </c>
      <c r="I1570">
        <v>8.42</v>
      </c>
      <c r="J1570">
        <v>2.61</v>
      </c>
      <c r="K1570">
        <v>1.3</v>
      </c>
      <c r="L1570" t="s">
        <v>3</v>
      </c>
      <c r="M1570" t="s">
        <v>3</v>
      </c>
      <c r="N1570" s="92">
        <v>17.98</v>
      </c>
    </row>
    <row r="1571" spans="2:14" x14ac:dyDescent="0.2">
      <c r="C1571" t="s">
        <v>593</v>
      </c>
      <c r="D1571" t="s">
        <v>572</v>
      </c>
      <c r="E1571" t="s">
        <v>3</v>
      </c>
      <c r="F1571" t="s">
        <v>3</v>
      </c>
      <c r="G1571" t="s">
        <v>3</v>
      </c>
      <c r="H1571" t="s">
        <v>3</v>
      </c>
      <c r="I1571" t="s">
        <v>3</v>
      </c>
      <c r="J1571" t="s">
        <v>572</v>
      </c>
      <c r="K1571" t="s">
        <v>3</v>
      </c>
      <c r="L1571" t="s">
        <v>3</v>
      </c>
      <c r="M1571" t="s">
        <v>3</v>
      </c>
      <c r="N1571" s="92" t="s">
        <v>3</v>
      </c>
    </row>
    <row r="1572" spans="2:14" x14ac:dyDescent="0.2">
      <c r="C1572" t="s">
        <v>594</v>
      </c>
      <c r="D1572">
        <v>26.07</v>
      </c>
      <c r="E1572">
        <v>15.19</v>
      </c>
      <c r="F1572">
        <v>15.39</v>
      </c>
      <c r="G1572">
        <v>6.65</v>
      </c>
      <c r="H1572">
        <v>3.36</v>
      </c>
      <c r="I1572">
        <v>2.2599999999999998</v>
      </c>
      <c r="J1572">
        <v>2.2599999999999998</v>
      </c>
      <c r="K1572">
        <v>0.66</v>
      </c>
      <c r="L1572">
        <v>0</v>
      </c>
      <c r="N1572" s="92">
        <v>13.75</v>
      </c>
    </row>
    <row r="1573" spans="2:14" x14ac:dyDescent="0.2">
      <c r="C1573" t="s">
        <v>595</v>
      </c>
      <c r="D1573">
        <v>2.83</v>
      </c>
      <c r="E1573">
        <v>2.2599999999999998</v>
      </c>
      <c r="F1573">
        <v>2.2599999999999998</v>
      </c>
      <c r="G1573">
        <v>2.2599999999999998</v>
      </c>
      <c r="H1573">
        <v>2.2599999999999998</v>
      </c>
      <c r="I1573">
        <v>2.2599999999999998</v>
      </c>
      <c r="J1573">
        <v>2.2599999999999998</v>
      </c>
      <c r="K1573">
        <v>0.66</v>
      </c>
      <c r="L1573" t="s">
        <v>572</v>
      </c>
      <c r="M1573" t="s">
        <v>3</v>
      </c>
      <c r="N1573" s="92">
        <v>2.2599999999999998</v>
      </c>
    </row>
    <row r="1574" spans="2:14" x14ac:dyDescent="0.2">
      <c r="C1574" t="s">
        <v>596</v>
      </c>
      <c r="D1574">
        <v>23.24</v>
      </c>
      <c r="E1574">
        <v>12.93</v>
      </c>
      <c r="F1574">
        <v>13.13</v>
      </c>
      <c r="G1574">
        <v>4.3899999999999997</v>
      </c>
      <c r="H1574">
        <v>1.1000000000000001</v>
      </c>
      <c r="I1574">
        <v>0</v>
      </c>
      <c r="J1574" t="s">
        <v>3</v>
      </c>
      <c r="K1574">
        <v>0</v>
      </c>
      <c r="L1574">
        <v>0</v>
      </c>
      <c r="M1574" t="s">
        <v>3</v>
      </c>
      <c r="N1574" s="92">
        <v>11.49</v>
      </c>
    </row>
    <row r="1575" spans="2:14" x14ac:dyDescent="0.2">
      <c r="C1575" s="14" t="s">
        <v>597</v>
      </c>
      <c r="D1575" s="32">
        <f>D1569-D1572</f>
        <v>-7.3500000000000014</v>
      </c>
      <c r="E1575" s="32">
        <f t="shared" ref="E1575:K1575" si="828">E1569-E1572</f>
        <v>2.0499999999999989</v>
      </c>
      <c r="F1575" s="32">
        <f t="shared" si="828"/>
        <v>1.8499999999999979</v>
      </c>
      <c r="G1575" s="32">
        <f t="shared" si="828"/>
        <v>3.41</v>
      </c>
      <c r="H1575" s="32">
        <f t="shared" si="828"/>
        <v>5.0600000000000005</v>
      </c>
      <c r="I1575" s="32">
        <f t="shared" si="828"/>
        <v>6.16</v>
      </c>
      <c r="J1575" s="32">
        <f t="shared" si="828"/>
        <v>0.35000000000000009</v>
      </c>
      <c r="K1575" s="32">
        <f t="shared" si="828"/>
        <v>0.64</v>
      </c>
      <c r="L1575" s="32">
        <f>L1569-L1572</f>
        <v>0</v>
      </c>
      <c r="M1575" s="32">
        <f>M1569-M1572</f>
        <v>0</v>
      </c>
      <c r="N1575" s="95">
        <f>N1569-N1572</f>
        <v>4.2300000000000004</v>
      </c>
    </row>
    <row r="1576" spans="2:14" x14ac:dyDescent="0.2">
      <c r="C1576" t="s">
        <v>598</v>
      </c>
      <c r="D1576" s="20">
        <f>D1568+D1575</f>
        <v>56.140000000000008</v>
      </c>
      <c r="E1576" s="20">
        <f t="shared" ref="E1576:M1576" si="829">E1568+E1575</f>
        <v>63.599999999999994</v>
      </c>
      <c r="F1576" s="20">
        <f t="shared" si="829"/>
        <v>65.329999999999984</v>
      </c>
      <c r="G1576" s="20">
        <f t="shared" si="829"/>
        <v>66.97</v>
      </c>
      <c r="H1576" s="20">
        <f t="shared" si="829"/>
        <v>67.83</v>
      </c>
      <c r="I1576" s="20">
        <f t="shared" si="829"/>
        <v>68.820000000000007</v>
      </c>
      <c r="J1576" s="20">
        <f t="shared" si="829"/>
        <v>70.009999999999977</v>
      </c>
      <c r="K1576" s="20">
        <f t="shared" si="829"/>
        <v>71.55</v>
      </c>
      <c r="L1576" s="20">
        <f t="shared" si="829"/>
        <v>73.179999999999993</v>
      </c>
      <c r="M1576" s="20">
        <f t="shared" si="829"/>
        <v>74.789999999999992</v>
      </c>
      <c r="N1576" s="94">
        <f>N1568+N1575</f>
        <v>61.33</v>
      </c>
    </row>
    <row r="1577" spans="2:14" x14ac:dyDescent="0.2">
      <c r="D1577" s="19"/>
      <c r="E1577" s="20"/>
      <c r="F1577" s="20"/>
      <c r="G1577" s="20"/>
      <c r="H1577" s="20"/>
      <c r="I1577" s="20"/>
      <c r="J1577" s="20"/>
      <c r="K1577" s="20"/>
      <c r="L1577" s="20"/>
      <c r="M1577" s="20"/>
      <c r="N1577" s="94"/>
    </row>
    <row r="1578" spans="2:14" x14ac:dyDescent="0.2">
      <c r="C1578" t="s">
        <v>599</v>
      </c>
      <c r="D1578">
        <v>61.18</v>
      </c>
      <c r="E1578">
        <v>68.41</v>
      </c>
      <c r="F1578">
        <v>71.930000000000007</v>
      </c>
      <c r="G1578">
        <v>76.77</v>
      </c>
      <c r="H1578">
        <v>77.64</v>
      </c>
      <c r="I1578">
        <v>78.61</v>
      </c>
      <c r="J1578">
        <v>79.81</v>
      </c>
      <c r="K1578">
        <v>79.75</v>
      </c>
      <c r="L1578">
        <v>80.709999999999994</v>
      </c>
      <c r="M1578">
        <v>82.34</v>
      </c>
      <c r="N1578" s="92">
        <v>65.81</v>
      </c>
    </row>
    <row r="1579" spans="2:14" x14ac:dyDescent="0.2">
      <c r="N1579" s="92"/>
    </row>
    <row r="1580" spans="2:14" x14ac:dyDescent="0.2">
      <c r="N1580" s="92"/>
    </row>
    <row r="1581" spans="2:14" ht="15" x14ac:dyDescent="0.25">
      <c r="B1581" s="2" t="s">
        <v>565</v>
      </c>
      <c r="N1581" s="92"/>
    </row>
    <row r="1582" spans="2:14" s="2" customFormat="1" ht="15" x14ac:dyDescent="0.25">
      <c r="B1582" s="2" t="s">
        <v>600</v>
      </c>
      <c r="N1582" s="96"/>
    </row>
    <row r="1583" spans="2:14" s="2" customFormat="1" ht="15" x14ac:dyDescent="0.25">
      <c r="B1583" s="13" t="s">
        <v>601</v>
      </c>
      <c r="D1583" s="2">
        <v>2000</v>
      </c>
      <c r="E1583" s="2">
        <v>2010</v>
      </c>
      <c r="F1583" s="2">
        <v>2015</v>
      </c>
      <c r="G1583" s="2">
        <v>2020</v>
      </c>
      <c r="H1583" s="2">
        <v>2025</v>
      </c>
      <c r="I1583" s="2">
        <v>2030</v>
      </c>
      <c r="J1583" s="2">
        <v>2035</v>
      </c>
      <c r="K1583" s="2">
        <v>2040</v>
      </c>
      <c r="L1583" s="2">
        <v>2045</v>
      </c>
      <c r="M1583" s="2">
        <v>2050</v>
      </c>
      <c r="N1583" s="96">
        <v>2005</v>
      </c>
    </row>
    <row r="1584" spans="2:14" x14ac:dyDescent="0.2">
      <c r="C1584" t="s">
        <v>568</v>
      </c>
      <c r="D1584">
        <v>17.71</v>
      </c>
      <c r="E1584">
        <v>14.16</v>
      </c>
      <c r="F1584">
        <v>16.989999999999998</v>
      </c>
      <c r="G1584">
        <v>18.8</v>
      </c>
      <c r="H1584">
        <v>19.04</v>
      </c>
      <c r="I1584">
        <v>19.25</v>
      </c>
      <c r="J1584">
        <v>19.41</v>
      </c>
      <c r="K1584">
        <v>19.62</v>
      </c>
      <c r="L1584">
        <v>19.670000000000002</v>
      </c>
      <c r="M1584">
        <v>19.87</v>
      </c>
      <c r="N1584" s="92">
        <v>15.56</v>
      </c>
    </row>
    <row r="1585" spans="3:14" x14ac:dyDescent="0.2">
      <c r="C1585" t="s">
        <v>602</v>
      </c>
      <c r="D1585">
        <v>17.71</v>
      </c>
      <c r="E1585">
        <v>14.16</v>
      </c>
      <c r="F1585">
        <v>15.95</v>
      </c>
      <c r="G1585">
        <v>16.09</v>
      </c>
      <c r="H1585">
        <v>16.239999999999998</v>
      </c>
      <c r="I1585">
        <v>16.39</v>
      </c>
      <c r="J1585">
        <v>16.47</v>
      </c>
      <c r="K1585">
        <v>16.59</v>
      </c>
      <c r="L1585">
        <v>16.53</v>
      </c>
      <c r="M1585">
        <v>16.63</v>
      </c>
      <c r="N1585" s="92">
        <v>15.56</v>
      </c>
    </row>
    <row r="1586" spans="3:14" x14ac:dyDescent="0.2">
      <c r="C1586" t="s">
        <v>603</v>
      </c>
      <c r="D1586" t="s">
        <v>572</v>
      </c>
      <c r="E1586" t="s">
        <v>3</v>
      </c>
      <c r="F1586">
        <v>1.04</v>
      </c>
      <c r="G1586">
        <v>2.72</v>
      </c>
      <c r="H1586">
        <v>2.79</v>
      </c>
      <c r="I1586">
        <v>2.86</v>
      </c>
      <c r="J1586">
        <v>2.94</v>
      </c>
      <c r="K1586">
        <v>3.02</v>
      </c>
      <c r="L1586">
        <v>3.14</v>
      </c>
      <c r="M1586">
        <v>3.24</v>
      </c>
      <c r="N1586" s="92" t="s">
        <v>3</v>
      </c>
    </row>
    <row r="1587" spans="3:14" x14ac:dyDescent="0.2">
      <c r="C1587" t="s">
        <v>571</v>
      </c>
      <c r="D1587">
        <v>13.72</v>
      </c>
      <c r="E1587">
        <v>14.17</v>
      </c>
      <c r="F1587">
        <v>13.5</v>
      </c>
      <c r="G1587">
        <v>11.91</v>
      </c>
      <c r="H1587">
        <v>8.7799999999999994</v>
      </c>
      <c r="I1587">
        <v>4.84</v>
      </c>
      <c r="J1587">
        <v>0</v>
      </c>
      <c r="K1587">
        <v>0</v>
      </c>
      <c r="L1587">
        <v>0</v>
      </c>
      <c r="M1587">
        <v>0</v>
      </c>
      <c r="N1587" s="92">
        <v>13.94</v>
      </c>
    </row>
    <row r="1588" spans="3:14" x14ac:dyDescent="0.2">
      <c r="C1588" t="s">
        <v>604</v>
      </c>
      <c r="D1588">
        <v>1.1100000000000001</v>
      </c>
      <c r="E1588">
        <v>1.3</v>
      </c>
      <c r="F1588">
        <v>1.6</v>
      </c>
      <c r="G1588">
        <v>4.41</v>
      </c>
      <c r="H1588">
        <v>8.35</v>
      </c>
      <c r="I1588">
        <v>12.16</v>
      </c>
      <c r="J1588">
        <v>20.149999999999999</v>
      </c>
      <c r="K1588">
        <v>20.399999999999999</v>
      </c>
      <c r="L1588">
        <v>21.17</v>
      </c>
      <c r="M1588">
        <v>21.54</v>
      </c>
      <c r="N1588" s="92">
        <v>1.25</v>
      </c>
    </row>
    <row r="1589" spans="3:14" x14ac:dyDescent="0.2">
      <c r="C1589" t="s">
        <v>605</v>
      </c>
      <c r="D1589">
        <v>1.1100000000000001</v>
      </c>
      <c r="E1589">
        <v>1.3</v>
      </c>
      <c r="F1589">
        <v>1.05</v>
      </c>
      <c r="G1589">
        <v>0.86</v>
      </c>
      <c r="H1589">
        <v>0.53</v>
      </c>
      <c r="I1589">
        <v>0.34</v>
      </c>
      <c r="J1589">
        <v>0.18</v>
      </c>
      <c r="K1589" t="s">
        <v>3</v>
      </c>
      <c r="L1589" t="s">
        <v>3</v>
      </c>
      <c r="M1589" t="s">
        <v>3</v>
      </c>
      <c r="N1589" s="92">
        <v>1.25</v>
      </c>
    </row>
    <row r="1590" spans="3:14" x14ac:dyDescent="0.2">
      <c r="C1590" t="s">
        <v>606</v>
      </c>
      <c r="D1590" t="s">
        <v>3</v>
      </c>
      <c r="E1590" t="s">
        <v>3</v>
      </c>
      <c r="F1590" t="s">
        <v>3</v>
      </c>
      <c r="G1590">
        <v>2.59</v>
      </c>
      <c r="H1590">
        <v>6.41</v>
      </c>
      <c r="I1590">
        <v>10.11</v>
      </c>
      <c r="J1590">
        <v>18.14</v>
      </c>
      <c r="K1590">
        <v>18.45</v>
      </c>
      <c r="L1590">
        <v>19.22</v>
      </c>
      <c r="M1590">
        <v>19.59</v>
      </c>
      <c r="N1590" s="92" t="s">
        <v>3</v>
      </c>
    </row>
    <row r="1591" spans="3:14" x14ac:dyDescent="0.2">
      <c r="C1591" t="s">
        <v>607</v>
      </c>
      <c r="D1591" t="s">
        <v>3</v>
      </c>
      <c r="E1591" t="s">
        <v>3</v>
      </c>
      <c r="F1591">
        <v>0.55000000000000004</v>
      </c>
      <c r="G1591">
        <v>0.95</v>
      </c>
      <c r="H1591">
        <v>1.4</v>
      </c>
      <c r="I1591">
        <v>1.71</v>
      </c>
      <c r="J1591">
        <v>1.84</v>
      </c>
      <c r="K1591">
        <v>1.95</v>
      </c>
      <c r="L1591">
        <v>1.95</v>
      </c>
      <c r="M1591">
        <v>1.95</v>
      </c>
      <c r="N1591" s="92" t="s">
        <v>3</v>
      </c>
    </row>
    <row r="1592" spans="3:14" x14ac:dyDescent="0.2">
      <c r="C1592" t="s">
        <v>608</v>
      </c>
      <c r="D1592">
        <v>0.45</v>
      </c>
      <c r="E1592">
        <v>0.76</v>
      </c>
      <c r="F1592">
        <v>1.01</v>
      </c>
      <c r="G1592">
        <v>1.29</v>
      </c>
      <c r="H1592">
        <v>1.69</v>
      </c>
      <c r="I1592">
        <v>2.23</v>
      </c>
      <c r="J1592">
        <v>2.81</v>
      </c>
      <c r="K1592">
        <v>3.24</v>
      </c>
      <c r="L1592">
        <v>3.74</v>
      </c>
      <c r="M1592">
        <v>4.16</v>
      </c>
      <c r="N1592" s="92">
        <v>0.55000000000000004</v>
      </c>
    </row>
    <row r="1593" spans="3:14" x14ac:dyDescent="0.2">
      <c r="C1593" t="s">
        <v>609</v>
      </c>
      <c r="D1593">
        <v>0.45</v>
      </c>
      <c r="E1593">
        <v>0.76</v>
      </c>
      <c r="F1593">
        <v>0.56000000000000005</v>
      </c>
      <c r="G1593">
        <v>0.5</v>
      </c>
      <c r="H1593">
        <v>0.38</v>
      </c>
      <c r="I1593">
        <v>0.21</v>
      </c>
      <c r="J1593">
        <v>0.05</v>
      </c>
      <c r="K1593">
        <v>0</v>
      </c>
      <c r="L1593" t="s">
        <v>3</v>
      </c>
      <c r="M1593" t="s">
        <v>3</v>
      </c>
      <c r="N1593" s="92">
        <v>0.55000000000000004</v>
      </c>
    </row>
    <row r="1594" spans="3:14" x14ac:dyDescent="0.2">
      <c r="C1594" t="s">
        <v>610</v>
      </c>
      <c r="D1594" t="s">
        <v>3</v>
      </c>
      <c r="E1594" t="s">
        <v>3</v>
      </c>
      <c r="F1594">
        <v>0.45</v>
      </c>
      <c r="G1594">
        <v>0.79</v>
      </c>
      <c r="H1594">
        <v>1.31</v>
      </c>
      <c r="I1594">
        <v>2.02</v>
      </c>
      <c r="J1594">
        <v>2.75</v>
      </c>
      <c r="K1594">
        <v>3.24</v>
      </c>
      <c r="L1594">
        <v>3.74</v>
      </c>
      <c r="M1594">
        <v>4.16</v>
      </c>
      <c r="N1594" s="92" t="s">
        <v>3</v>
      </c>
    </row>
    <row r="1595" spans="3:14" x14ac:dyDescent="0.2">
      <c r="C1595" t="s">
        <v>580</v>
      </c>
      <c r="D1595">
        <v>0</v>
      </c>
      <c r="E1595">
        <v>0.02</v>
      </c>
      <c r="F1595">
        <v>0.06</v>
      </c>
      <c r="G1595">
        <v>0.09</v>
      </c>
      <c r="H1595">
        <v>0.15</v>
      </c>
      <c r="I1595">
        <v>0.26</v>
      </c>
      <c r="J1595">
        <v>0.68</v>
      </c>
      <c r="K1595">
        <v>0.94</v>
      </c>
      <c r="L1595">
        <v>1.28</v>
      </c>
      <c r="M1595">
        <v>1.6</v>
      </c>
      <c r="N1595" s="92">
        <v>0.01</v>
      </c>
    </row>
    <row r="1596" spans="3:14" x14ac:dyDescent="0.2">
      <c r="C1596" t="s">
        <v>581</v>
      </c>
      <c r="D1596">
        <v>0</v>
      </c>
      <c r="E1596">
        <v>0.02</v>
      </c>
      <c r="F1596">
        <v>0.05</v>
      </c>
      <c r="G1596">
        <v>0.09</v>
      </c>
      <c r="H1596">
        <v>0.15</v>
      </c>
      <c r="I1596">
        <v>0.34</v>
      </c>
      <c r="J1596">
        <v>0.46</v>
      </c>
      <c r="K1596">
        <v>0.61</v>
      </c>
      <c r="L1596">
        <v>0.75</v>
      </c>
      <c r="M1596">
        <v>0.85</v>
      </c>
      <c r="N1596" s="92">
        <v>0.01</v>
      </c>
    </row>
    <row r="1597" spans="3:14" x14ac:dyDescent="0.2">
      <c r="C1597" t="s">
        <v>582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 s="92">
        <v>0</v>
      </c>
    </row>
    <row r="1598" spans="3:14" x14ac:dyDescent="0.2">
      <c r="C1598" t="s">
        <v>47</v>
      </c>
      <c r="D1598" t="s">
        <v>3</v>
      </c>
      <c r="E1598" t="s">
        <v>3</v>
      </c>
      <c r="F1598">
        <v>0.02</v>
      </c>
      <c r="G1598">
        <v>0.05</v>
      </c>
      <c r="H1598">
        <v>0.1</v>
      </c>
      <c r="I1598">
        <v>0.16</v>
      </c>
      <c r="J1598">
        <v>0.2</v>
      </c>
      <c r="K1598">
        <v>0.2</v>
      </c>
      <c r="L1598">
        <v>0.21</v>
      </c>
      <c r="M1598">
        <v>0.21</v>
      </c>
      <c r="N1598" s="92" t="s">
        <v>3</v>
      </c>
    </row>
    <row r="1599" spans="3:14" x14ac:dyDescent="0.2">
      <c r="C1599" t="s">
        <v>583</v>
      </c>
      <c r="D1599">
        <v>0.01</v>
      </c>
      <c r="E1599">
        <v>0.09</v>
      </c>
      <c r="F1599">
        <v>0.21</v>
      </c>
      <c r="G1599">
        <v>0.28999999999999998</v>
      </c>
      <c r="H1599">
        <v>0.39</v>
      </c>
      <c r="I1599">
        <v>0.47</v>
      </c>
      <c r="J1599">
        <v>0.44</v>
      </c>
      <c r="K1599">
        <v>0.45</v>
      </c>
      <c r="L1599">
        <v>0.45</v>
      </c>
      <c r="M1599">
        <v>0.45</v>
      </c>
      <c r="N1599" s="92">
        <v>0.02</v>
      </c>
    </row>
    <row r="1600" spans="3:14" x14ac:dyDescent="0.2">
      <c r="C1600" t="s">
        <v>584</v>
      </c>
      <c r="D1600">
        <v>0.01</v>
      </c>
      <c r="E1600">
        <v>0.05</v>
      </c>
      <c r="F1600">
        <v>0.1</v>
      </c>
      <c r="G1600">
        <v>0.16</v>
      </c>
      <c r="H1600">
        <v>0.23</v>
      </c>
      <c r="I1600">
        <v>0.3</v>
      </c>
      <c r="J1600">
        <v>0.32</v>
      </c>
      <c r="K1600">
        <v>0.33</v>
      </c>
      <c r="L1600">
        <v>0.33</v>
      </c>
      <c r="M1600">
        <v>0.33</v>
      </c>
      <c r="N1600" s="92">
        <v>0.01</v>
      </c>
    </row>
    <row r="1601" spans="3:14" x14ac:dyDescent="0.2">
      <c r="C1601" t="s">
        <v>585</v>
      </c>
      <c r="D1601">
        <v>0.05</v>
      </c>
      <c r="E1601">
        <v>7.0000000000000007E-2</v>
      </c>
      <c r="F1601">
        <v>0.06</v>
      </c>
      <c r="G1601">
        <v>0.09</v>
      </c>
      <c r="H1601">
        <v>0.13</v>
      </c>
      <c r="I1601">
        <v>0.16</v>
      </c>
      <c r="J1601">
        <v>0.17</v>
      </c>
      <c r="K1601">
        <v>0.17</v>
      </c>
      <c r="L1601">
        <v>0.18</v>
      </c>
      <c r="M1601">
        <v>0.18</v>
      </c>
      <c r="N1601" s="92">
        <v>0.06</v>
      </c>
    </row>
    <row r="1602" spans="3:14" x14ac:dyDescent="0.2">
      <c r="C1602" t="s">
        <v>586</v>
      </c>
      <c r="D1602">
        <v>0.35</v>
      </c>
      <c r="E1602">
        <v>0.51</v>
      </c>
      <c r="F1602">
        <v>0.52</v>
      </c>
      <c r="G1602">
        <v>0.52</v>
      </c>
      <c r="H1602">
        <v>0.54</v>
      </c>
      <c r="I1602">
        <v>0.54</v>
      </c>
      <c r="J1602">
        <v>0.54</v>
      </c>
      <c r="K1602">
        <v>0.54</v>
      </c>
      <c r="L1602">
        <v>0.54</v>
      </c>
      <c r="M1602">
        <v>0.54</v>
      </c>
      <c r="N1602" s="92">
        <v>0.44</v>
      </c>
    </row>
    <row r="1603" spans="3:14" x14ac:dyDescent="0.2">
      <c r="C1603" t="s">
        <v>587</v>
      </c>
      <c r="D1603">
        <v>0.02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 s="92">
        <v>0.01</v>
      </c>
    </row>
    <row r="1604" spans="3:14" x14ac:dyDescent="0.2">
      <c r="C1604" t="s">
        <v>588</v>
      </c>
      <c r="D1604" s="20">
        <f t="shared" ref="D1604:I1604" si="830">D1584+D1587+D1588+D1592</f>
        <v>32.99</v>
      </c>
      <c r="E1604" s="20">
        <f t="shared" si="830"/>
        <v>30.39</v>
      </c>
      <c r="F1604" s="20">
        <f t="shared" si="830"/>
        <v>33.099999999999994</v>
      </c>
      <c r="G1604" s="20">
        <f t="shared" si="830"/>
        <v>36.410000000000004</v>
      </c>
      <c r="H1604" s="20">
        <f t="shared" si="830"/>
        <v>37.86</v>
      </c>
      <c r="I1604" s="20">
        <f t="shared" si="830"/>
        <v>38.479999999999997</v>
      </c>
      <c r="J1604" s="20">
        <f>J1584+J1588+J1592</f>
        <v>42.370000000000005</v>
      </c>
      <c r="K1604" s="20">
        <f>K1584+K1588+K1592</f>
        <v>43.26</v>
      </c>
      <c r="L1604" s="20">
        <f>L1584+L1588+L1592</f>
        <v>44.580000000000005</v>
      </c>
      <c r="M1604" s="20">
        <f>M1584+M1588+M1592</f>
        <v>45.569999999999993</v>
      </c>
      <c r="N1604" s="94">
        <f>N1584+N1587+N1588+N1592</f>
        <v>31.3</v>
      </c>
    </row>
    <row r="1605" spans="3:14" x14ac:dyDescent="0.2">
      <c r="C1605" t="s">
        <v>589</v>
      </c>
      <c r="D1605">
        <v>-0.89</v>
      </c>
      <c r="E1605">
        <v>-1.02</v>
      </c>
      <c r="F1605">
        <v>-2.13</v>
      </c>
      <c r="G1605">
        <v>-4.12</v>
      </c>
      <c r="H1605">
        <v>-4.12</v>
      </c>
      <c r="I1605">
        <v>-4.12</v>
      </c>
      <c r="J1605">
        <v>-4.12</v>
      </c>
      <c r="K1605">
        <v>-4.12</v>
      </c>
      <c r="L1605">
        <v>-4.12</v>
      </c>
      <c r="M1605">
        <v>-4.12</v>
      </c>
      <c r="N1605" s="92">
        <v>-0.89</v>
      </c>
    </row>
    <row r="1606" spans="3:14" x14ac:dyDescent="0.2">
      <c r="C1606" s="14" t="s">
        <v>590</v>
      </c>
      <c r="D1606" s="32">
        <f>D1604+D1605</f>
        <v>32.1</v>
      </c>
      <c r="E1606" s="32">
        <f t="shared" ref="E1606:M1606" si="831">E1604+E1605</f>
        <v>29.37</v>
      </c>
      <c r="F1606" s="32">
        <f t="shared" si="831"/>
        <v>30.969999999999995</v>
      </c>
      <c r="G1606" s="32">
        <f t="shared" si="831"/>
        <v>32.290000000000006</v>
      </c>
      <c r="H1606" s="32">
        <f t="shared" si="831"/>
        <v>33.74</v>
      </c>
      <c r="I1606" s="32">
        <f t="shared" si="831"/>
        <v>34.36</v>
      </c>
      <c r="J1606" s="32">
        <f t="shared" si="831"/>
        <v>38.250000000000007</v>
      </c>
      <c r="K1606" s="32">
        <f t="shared" si="831"/>
        <v>39.14</v>
      </c>
      <c r="L1606" s="32">
        <f t="shared" si="831"/>
        <v>40.460000000000008</v>
      </c>
      <c r="M1606" s="32">
        <f t="shared" si="831"/>
        <v>41.449999999999996</v>
      </c>
      <c r="N1606" s="95">
        <f>N1604+N1605</f>
        <v>30.41</v>
      </c>
    </row>
    <row r="1607" spans="3:14" x14ac:dyDescent="0.2">
      <c r="C1607" t="s">
        <v>591</v>
      </c>
      <c r="D1607">
        <v>10.16</v>
      </c>
      <c r="E1607">
        <v>9.36</v>
      </c>
      <c r="F1607">
        <v>9.36</v>
      </c>
      <c r="G1607">
        <v>5.46</v>
      </c>
      <c r="H1607">
        <v>4.57</v>
      </c>
      <c r="I1607">
        <v>4.57</v>
      </c>
      <c r="J1607">
        <v>1.42</v>
      </c>
      <c r="K1607">
        <v>0.71</v>
      </c>
      <c r="N1607" s="92">
        <v>9.76</v>
      </c>
    </row>
    <row r="1608" spans="3:14" x14ac:dyDescent="0.2">
      <c r="C1608" t="s">
        <v>592</v>
      </c>
      <c r="D1608">
        <v>10.16</v>
      </c>
      <c r="E1608">
        <v>9.36</v>
      </c>
      <c r="F1608">
        <v>9.36</v>
      </c>
      <c r="G1608">
        <v>5.46</v>
      </c>
      <c r="H1608">
        <v>4.57</v>
      </c>
      <c r="I1608">
        <v>4.57</v>
      </c>
      <c r="J1608">
        <v>1.42</v>
      </c>
      <c r="K1608">
        <v>0.71</v>
      </c>
      <c r="L1608" t="s">
        <v>3</v>
      </c>
      <c r="M1608" t="s">
        <v>3</v>
      </c>
      <c r="N1608" s="92">
        <v>9.76</v>
      </c>
    </row>
    <row r="1609" spans="3:14" x14ac:dyDescent="0.2">
      <c r="C1609" t="s">
        <v>593</v>
      </c>
      <c r="D1609" t="s">
        <v>3</v>
      </c>
      <c r="E1609" t="s">
        <v>3</v>
      </c>
      <c r="F1609" t="s">
        <v>3</v>
      </c>
      <c r="G1609" t="s">
        <v>3</v>
      </c>
      <c r="H1609" t="s">
        <v>3</v>
      </c>
      <c r="I1609" t="s">
        <v>3</v>
      </c>
      <c r="J1609" t="s">
        <v>3</v>
      </c>
      <c r="K1609" t="s">
        <v>3</v>
      </c>
      <c r="L1609" t="s">
        <v>3</v>
      </c>
      <c r="M1609" t="s">
        <v>3</v>
      </c>
      <c r="N1609" s="92" t="s">
        <v>3</v>
      </c>
    </row>
    <row r="1610" spans="3:14" x14ac:dyDescent="0.2">
      <c r="C1610" t="s">
        <v>594</v>
      </c>
      <c r="D1610">
        <v>11.67</v>
      </c>
      <c r="E1610">
        <v>4.0999999999999996</v>
      </c>
      <c r="F1610">
        <v>4.68</v>
      </c>
      <c r="G1610">
        <v>1.1299999999999999</v>
      </c>
      <c r="H1610">
        <v>1.1299999999999999</v>
      </c>
      <c r="I1610">
        <v>1.1299999999999999</v>
      </c>
      <c r="J1610">
        <v>1.1299999999999999</v>
      </c>
      <c r="K1610">
        <v>0.36</v>
      </c>
      <c r="M1610">
        <v>0</v>
      </c>
      <c r="N1610" s="92">
        <v>6.85</v>
      </c>
    </row>
    <row r="1611" spans="3:14" x14ac:dyDescent="0.2">
      <c r="C1611" t="s">
        <v>612</v>
      </c>
      <c r="D1611">
        <v>1.47</v>
      </c>
      <c r="E1611">
        <v>1.1299999999999999</v>
      </c>
      <c r="F1611">
        <v>1.1299999999999999</v>
      </c>
      <c r="G1611">
        <v>1.1299999999999999</v>
      </c>
      <c r="H1611">
        <v>1.1299999999999999</v>
      </c>
      <c r="I1611">
        <v>1.1299999999999999</v>
      </c>
      <c r="J1611">
        <v>1.1299999999999999</v>
      </c>
      <c r="K1611">
        <v>0.36</v>
      </c>
      <c r="L1611" t="s">
        <v>3</v>
      </c>
      <c r="M1611" t="s">
        <v>3</v>
      </c>
      <c r="N1611" s="92">
        <v>1.1299999999999999</v>
      </c>
    </row>
    <row r="1612" spans="3:14" x14ac:dyDescent="0.2">
      <c r="C1612" t="s">
        <v>596</v>
      </c>
      <c r="D1612">
        <v>10.199999999999999</v>
      </c>
      <c r="E1612">
        <v>2.97</v>
      </c>
      <c r="F1612">
        <v>3.56</v>
      </c>
      <c r="G1612">
        <v>0</v>
      </c>
      <c r="H1612" t="s">
        <v>3</v>
      </c>
      <c r="I1612" t="s">
        <v>3</v>
      </c>
      <c r="J1612">
        <v>0</v>
      </c>
      <c r="K1612" t="s">
        <v>3</v>
      </c>
      <c r="L1612" t="s">
        <v>3</v>
      </c>
      <c r="M1612">
        <v>0</v>
      </c>
      <c r="N1612" s="92">
        <v>5.72</v>
      </c>
    </row>
    <row r="1613" spans="3:14" x14ac:dyDescent="0.2">
      <c r="C1613" s="14" t="s">
        <v>597</v>
      </c>
      <c r="D1613" s="32">
        <f>D1607-D1610</f>
        <v>-1.5099999999999998</v>
      </c>
      <c r="E1613" s="32">
        <f t="shared" ref="E1613:M1613" si="832">E1607-E1610</f>
        <v>5.26</v>
      </c>
      <c r="F1613" s="32">
        <f t="shared" si="832"/>
        <v>4.68</v>
      </c>
      <c r="G1613" s="32">
        <f t="shared" si="832"/>
        <v>4.33</v>
      </c>
      <c r="H1613" s="32">
        <f t="shared" si="832"/>
        <v>3.4400000000000004</v>
      </c>
      <c r="I1613" s="32">
        <f t="shared" si="832"/>
        <v>3.4400000000000004</v>
      </c>
      <c r="J1613" s="32">
        <f t="shared" si="832"/>
        <v>0.29000000000000004</v>
      </c>
      <c r="K1613" s="32">
        <f t="shared" si="832"/>
        <v>0.35</v>
      </c>
      <c r="L1613" s="32">
        <f t="shared" si="832"/>
        <v>0</v>
      </c>
      <c r="M1613" s="32">
        <f t="shared" si="832"/>
        <v>0</v>
      </c>
      <c r="N1613" s="95">
        <f>N1607-N1610</f>
        <v>2.91</v>
      </c>
    </row>
    <row r="1614" spans="3:14" x14ac:dyDescent="0.2">
      <c r="C1614" t="s">
        <v>598</v>
      </c>
      <c r="D1614" s="20">
        <f>D1606+D1613</f>
        <v>30.590000000000003</v>
      </c>
      <c r="E1614" s="20">
        <f t="shared" ref="E1614:M1614" si="833">E1606+E1613</f>
        <v>34.630000000000003</v>
      </c>
      <c r="F1614" s="20">
        <f t="shared" si="833"/>
        <v>35.649999999999991</v>
      </c>
      <c r="G1614" s="20">
        <f t="shared" si="833"/>
        <v>36.620000000000005</v>
      </c>
      <c r="H1614" s="20">
        <f t="shared" si="833"/>
        <v>37.18</v>
      </c>
      <c r="I1614" s="20">
        <f t="shared" si="833"/>
        <v>37.799999999999997</v>
      </c>
      <c r="J1614" s="20">
        <f t="shared" si="833"/>
        <v>38.540000000000006</v>
      </c>
      <c r="K1614" s="20">
        <f t="shared" si="833"/>
        <v>39.49</v>
      </c>
      <c r="L1614" s="20">
        <f t="shared" si="833"/>
        <v>40.460000000000008</v>
      </c>
      <c r="M1614" s="20">
        <f t="shared" si="833"/>
        <v>41.449999999999996</v>
      </c>
      <c r="N1614" s="94">
        <f>N1606+N1613</f>
        <v>33.32</v>
      </c>
    </row>
    <row r="1615" spans="3:14" x14ac:dyDescent="0.2">
      <c r="N1615" s="92"/>
    </row>
    <row r="1616" spans="3:14" x14ac:dyDescent="0.2">
      <c r="C1616" t="s">
        <v>599</v>
      </c>
      <c r="D1616">
        <v>32.950000000000003</v>
      </c>
      <c r="E1616">
        <v>36.770000000000003</v>
      </c>
      <c r="F1616">
        <v>38.909999999999997</v>
      </c>
      <c r="G1616">
        <v>41.87</v>
      </c>
      <c r="H1616">
        <v>42.43</v>
      </c>
      <c r="I1616">
        <v>43.05</v>
      </c>
      <c r="J1616">
        <v>43.79</v>
      </c>
      <c r="K1616">
        <v>43.96</v>
      </c>
      <c r="L1616">
        <v>44.59</v>
      </c>
      <c r="M1616">
        <v>45.57</v>
      </c>
      <c r="N1616" s="92">
        <v>35.33</v>
      </c>
    </row>
    <row r="1617" spans="2:14" x14ac:dyDescent="0.2">
      <c r="N1617" s="92"/>
    </row>
    <row r="1618" spans="2:14" x14ac:dyDescent="0.2">
      <c r="N1618" s="92"/>
    </row>
    <row r="1619" spans="2:14" s="2" customFormat="1" ht="15" x14ac:dyDescent="0.25">
      <c r="B1619" s="2" t="s">
        <v>565</v>
      </c>
      <c r="C1619" s="9"/>
      <c r="N1619" s="96"/>
    </row>
    <row r="1620" spans="2:14" s="2" customFormat="1" ht="15" x14ac:dyDescent="0.25">
      <c r="B1620" s="2" t="s">
        <v>614</v>
      </c>
      <c r="N1620" s="96"/>
    </row>
    <row r="1621" spans="2:14" s="2" customFormat="1" ht="15" x14ac:dyDescent="0.25">
      <c r="B1621" s="13" t="s">
        <v>615</v>
      </c>
      <c r="D1621" s="2">
        <v>2000</v>
      </c>
      <c r="E1621" s="2">
        <v>2010</v>
      </c>
      <c r="F1621" s="2">
        <v>2015</v>
      </c>
      <c r="G1621" s="2">
        <v>2020</v>
      </c>
      <c r="H1621" s="2">
        <v>2025</v>
      </c>
      <c r="I1621" s="2">
        <v>2030</v>
      </c>
      <c r="J1621" s="2">
        <v>2035</v>
      </c>
      <c r="K1621" s="2">
        <v>2040</v>
      </c>
      <c r="L1621" s="2">
        <v>2045</v>
      </c>
      <c r="M1621" s="2">
        <v>2050</v>
      </c>
      <c r="N1621" s="96">
        <v>2005</v>
      </c>
    </row>
    <row r="1622" spans="2:14" x14ac:dyDescent="0.2">
      <c r="C1622" t="s">
        <v>568</v>
      </c>
      <c r="D1622">
        <v>20.67</v>
      </c>
      <c r="E1622">
        <v>21.26</v>
      </c>
      <c r="F1622">
        <v>21.77</v>
      </c>
      <c r="G1622">
        <v>22.68</v>
      </c>
      <c r="H1622">
        <v>22.61</v>
      </c>
      <c r="I1622">
        <v>22.52</v>
      </c>
      <c r="J1622">
        <v>22.34</v>
      </c>
      <c r="K1622">
        <v>22.24</v>
      </c>
      <c r="L1622">
        <v>21.92</v>
      </c>
      <c r="M1622">
        <v>21.71</v>
      </c>
      <c r="N1622" s="92">
        <v>18.78</v>
      </c>
    </row>
    <row r="1623" spans="2:14" x14ac:dyDescent="0.2">
      <c r="C1623" t="s">
        <v>602</v>
      </c>
      <c r="D1623">
        <v>20.67</v>
      </c>
      <c r="E1623">
        <v>21.26</v>
      </c>
      <c r="F1623">
        <v>21</v>
      </c>
      <c r="G1623">
        <v>20.78</v>
      </c>
      <c r="H1623">
        <v>20.58</v>
      </c>
      <c r="I1623">
        <v>20.37</v>
      </c>
      <c r="J1623">
        <v>20.07</v>
      </c>
      <c r="K1623">
        <v>19.82</v>
      </c>
      <c r="L1623">
        <v>19.32</v>
      </c>
      <c r="M1623">
        <v>18.95</v>
      </c>
      <c r="N1623" s="92">
        <v>18.78</v>
      </c>
    </row>
    <row r="1624" spans="2:14" x14ac:dyDescent="0.2">
      <c r="C1624" t="s">
        <v>603</v>
      </c>
      <c r="D1624" t="s">
        <v>572</v>
      </c>
      <c r="E1624" t="s">
        <v>3</v>
      </c>
      <c r="F1624">
        <v>0.76</v>
      </c>
      <c r="G1624">
        <v>1.89</v>
      </c>
      <c r="H1624">
        <v>2.0299999999999998</v>
      </c>
      <c r="I1624">
        <v>2.15</v>
      </c>
      <c r="J1624">
        <v>2.27</v>
      </c>
      <c r="K1624">
        <v>2.42</v>
      </c>
      <c r="L1624">
        <v>2.61</v>
      </c>
      <c r="M1624">
        <v>2.77</v>
      </c>
      <c r="N1624" s="92" t="s">
        <v>3</v>
      </c>
    </row>
    <row r="1625" spans="2:14" x14ac:dyDescent="0.2">
      <c r="C1625" t="s">
        <v>571</v>
      </c>
      <c r="D1625">
        <v>11.01</v>
      </c>
      <c r="E1625">
        <v>10.96</v>
      </c>
      <c r="F1625">
        <v>11.08</v>
      </c>
      <c r="G1625">
        <v>9.77</v>
      </c>
      <c r="H1625">
        <v>7.21</v>
      </c>
      <c r="I1625">
        <v>3.97</v>
      </c>
      <c r="J1625">
        <v>0</v>
      </c>
      <c r="K1625">
        <v>0</v>
      </c>
      <c r="L1625">
        <v>0</v>
      </c>
      <c r="M1625">
        <v>0</v>
      </c>
      <c r="N1625" s="92">
        <v>7.97</v>
      </c>
    </row>
    <row r="1626" spans="2:14" x14ac:dyDescent="0.2">
      <c r="C1626" t="s">
        <v>604</v>
      </c>
      <c r="D1626">
        <v>0.67</v>
      </c>
      <c r="E1626">
        <v>0.88</v>
      </c>
      <c r="F1626">
        <v>1.04</v>
      </c>
      <c r="G1626">
        <v>1.1599999999999999</v>
      </c>
      <c r="H1626">
        <v>1.19</v>
      </c>
      <c r="I1626">
        <v>3.18</v>
      </c>
      <c r="J1626">
        <v>9.17</v>
      </c>
      <c r="K1626">
        <v>8.82</v>
      </c>
      <c r="L1626">
        <v>9.0500000000000007</v>
      </c>
      <c r="M1626">
        <v>8.9600000000000009</v>
      </c>
      <c r="N1626" s="92">
        <v>0.82</v>
      </c>
    </row>
    <row r="1627" spans="2:14" x14ac:dyDescent="0.2">
      <c r="C1627" t="s">
        <v>605</v>
      </c>
      <c r="D1627">
        <v>0.67</v>
      </c>
      <c r="E1627">
        <v>0.88</v>
      </c>
      <c r="F1627">
        <v>0.71</v>
      </c>
      <c r="G1627">
        <v>0.62</v>
      </c>
      <c r="H1627">
        <v>0.38</v>
      </c>
      <c r="I1627">
        <v>0.24</v>
      </c>
      <c r="J1627">
        <v>0.14000000000000001</v>
      </c>
      <c r="K1627" t="s">
        <v>3</v>
      </c>
      <c r="L1627" t="s">
        <v>3</v>
      </c>
      <c r="M1627" t="s">
        <v>3</v>
      </c>
      <c r="N1627" s="92">
        <v>0.82</v>
      </c>
    </row>
    <row r="1628" spans="2:14" x14ac:dyDescent="0.2">
      <c r="C1628" t="s">
        <v>606</v>
      </c>
      <c r="D1628" t="s">
        <v>3</v>
      </c>
      <c r="E1628" t="s">
        <v>3</v>
      </c>
      <c r="F1628" t="s">
        <v>3</v>
      </c>
      <c r="G1628" t="s">
        <v>3</v>
      </c>
      <c r="H1628" t="s">
        <v>3</v>
      </c>
      <c r="I1628">
        <v>1.95</v>
      </c>
      <c r="J1628">
        <v>7.94</v>
      </c>
      <c r="K1628">
        <v>7.67</v>
      </c>
      <c r="L1628">
        <v>7.89</v>
      </c>
      <c r="M1628">
        <v>7.8</v>
      </c>
      <c r="N1628" s="92" t="s">
        <v>3</v>
      </c>
    </row>
    <row r="1629" spans="2:14" x14ac:dyDescent="0.2">
      <c r="C1629" t="s">
        <v>607</v>
      </c>
      <c r="D1629" t="s">
        <v>3</v>
      </c>
      <c r="E1629" t="s">
        <v>3</v>
      </c>
      <c r="F1629">
        <v>0.34</v>
      </c>
      <c r="G1629">
        <v>0.54</v>
      </c>
      <c r="H1629">
        <v>0.8</v>
      </c>
      <c r="I1629">
        <v>0.99</v>
      </c>
      <c r="J1629">
        <v>1.08</v>
      </c>
      <c r="K1629">
        <v>1.1599999999999999</v>
      </c>
      <c r="L1629">
        <v>1.1599999999999999</v>
      </c>
      <c r="M1629">
        <v>1.1599999999999999</v>
      </c>
      <c r="N1629" s="92" t="s">
        <v>3</v>
      </c>
    </row>
    <row r="1630" spans="2:14" x14ac:dyDescent="0.2">
      <c r="C1630" t="s">
        <v>608</v>
      </c>
      <c r="D1630">
        <v>0.36</v>
      </c>
      <c r="E1630">
        <v>0.62</v>
      </c>
      <c r="F1630">
        <v>0.82</v>
      </c>
      <c r="G1630">
        <v>1.08</v>
      </c>
      <c r="H1630">
        <v>1.46</v>
      </c>
      <c r="I1630">
        <v>2.0499999999999998</v>
      </c>
      <c r="J1630">
        <v>3.32</v>
      </c>
      <c r="K1630">
        <v>4.13</v>
      </c>
      <c r="L1630">
        <v>5.16</v>
      </c>
      <c r="M1630">
        <v>6.09</v>
      </c>
      <c r="N1630" s="92">
        <v>0.45</v>
      </c>
    </row>
    <row r="1631" spans="2:14" x14ac:dyDescent="0.2">
      <c r="C1631" t="s">
        <v>609</v>
      </c>
      <c r="D1631">
        <v>0.36</v>
      </c>
      <c r="E1631">
        <v>0.62</v>
      </c>
      <c r="F1631">
        <v>0.47</v>
      </c>
      <c r="G1631">
        <v>0.42</v>
      </c>
      <c r="H1631">
        <v>0.32</v>
      </c>
      <c r="I1631">
        <v>0.19</v>
      </c>
      <c r="J1631">
        <v>0.04</v>
      </c>
      <c r="K1631">
        <v>0</v>
      </c>
      <c r="L1631" t="s">
        <v>3</v>
      </c>
      <c r="M1631" t="s">
        <v>3</v>
      </c>
      <c r="N1631" s="92">
        <v>0.45</v>
      </c>
    </row>
    <row r="1632" spans="2:14" x14ac:dyDescent="0.2">
      <c r="C1632" t="s">
        <v>610</v>
      </c>
      <c r="D1632" t="s">
        <v>3</v>
      </c>
      <c r="E1632" t="s">
        <v>3</v>
      </c>
      <c r="F1632">
        <v>0.36</v>
      </c>
      <c r="G1632">
        <v>0.66</v>
      </c>
      <c r="H1632">
        <v>1.1399999999999999</v>
      </c>
      <c r="I1632">
        <v>1.86</v>
      </c>
      <c r="J1632">
        <v>3.27</v>
      </c>
      <c r="K1632">
        <v>4.12</v>
      </c>
      <c r="L1632">
        <v>5.16</v>
      </c>
      <c r="M1632">
        <v>6.09</v>
      </c>
      <c r="N1632" s="92" t="s">
        <v>3</v>
      </c>
    </row>
    <row r="1633" spans="3:14" x14ac:dyDescent="0.2">
      <c r="C1633" t="s">
        <v>580</v>
      </c>
      <c r="D1633">
        <v>0.01</v>
      </c>
      <c r="E1633">
        <v>0.06</v>
      </c>
      <c r="F1633">
        <v>0.15</v>
      </c>
      <c r="G1633">
        <v>0.25</v>
      </c>
      <c r="H1633">
        <v>0.4</v>
      </c>
      <c r="I1633">
        <v>0.7</v>
      </c>
      <c r="J1633">
        <v>1.84</v>
      </c>
      <c r="K1633">
        <v>2.54</v>
      </c>
      <c r="L1633">
        <v>3.45</v>
      </c>
      <c r="M1633">
        <v>4.32</v>
      </c>
      <c r="N1633" s="92">
        <v>0.01</v>
      </c>
    </row>
    <row r="1634" spans="3:14" x14ac:dyDescent="0.2">
      <c r="C1634" t="s">
        <v>581</v>
      </c>
      <c r="D1634">
        <v>0</v>
      </c>
      <c r="E1634">
        <v>0.01</v>
      </c>
      <c r="F1634">
        <v>0.04</v>
      </c>
      <c r="G1634">
        <v>0.06</v>
      </c>
      <c r="H1634">
        <v>0.1</v>
      </c>
      <c r="I1634">
        <v>0.23</v>
      </c>
      <c r="J1634">
        <v>0.31</v>
      </c>
      <c r="K1634">
        <v>0.41</v>
      </c>
      <c r="L1634">
        <v>0.5</v>
      </c>
      <c r="M1634">
        <v>0.56000000000000005</v>
      </c>
      <c r="N1634" s="92">
        <v>0</v>
      </c>
    </row>
    <row r="1635" spans="3:14" x14ac:dyDescent="0.2">
      <c r="C1635" t="s">
        <v>582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 s="92">
        <v>0</v>
      </c>
    </row>
    <row r="1636" spans="3:14" x14ac:dyDescent="0.2">
      <c r="C1636" t="s">
        <v>47</v>
      </c>
      <c r="D1636" t="s">
        <v>3</v>
      </c>
      <c r="E1636" t="s">
        <v>3</v>
      </c>
      <c r="F1636">
        <v>0.02</v>
      </c>
      <c r="G1636">
        <v>0.05</v>
      </c>
      <c r="H1636">
        <v>0.1</v>
      </c>
      <c r="I1636">
        <v>0.16</v>
      </c>
      <c r="J1636">
        <v>0.2</v>
      </c>
      <c r="K1636">
        <v>0.2</v>
      </c>
      <c r="L1636">
        <v>0.21</v>
      </c>
      <c r="M1636">
        <v>0.21</v>
      </c>
      <c r="N1636" s="92" t="s">
        <v>3</v>
      </c>
    </row>
    <row r="1637" spans="3:14" x14ac:dyDescent="0.2">
      <c r="C1637" t="s">
        <v>583</v>
      </c>
      <c r="D1637">
        <v>0.01</v>
      </c>
      <c r="E1637">
        <v>0.04</v>
      </c>
      <c r="F1637">
        <v>0.09</v>
      </c>
      <c r="G1637">
        <v>0.13</v>
      </c>
      <c r="H1637">
        <v>0.18</v>
      </c>
      <c r="I1637">
        <v>0.23</v>
      </c>
      <c r="J1637">
        <v>0.22</v>
      </c>
      <c r="K1637">
        <v>0.23</v>
      </c>
      <c r="L1637">
        <v>0.23</v>
      </c>
      <c r="M1637">
        <v>0.23</v>
      </c>
      <c r="N1637" s="92">
        <v>0.01</v>
      </c>
    </row>
    <row r="1638" spans="3:14" x14ac:dyDescent="0.2">
      <c r="C1638" t="s">
        <v>584</v>
      </c>
      <c r="D1638">
        <v>0</v>
      </c>
      <c r="E1638">
        <v>0.03</v>
      </c>
      <c r="F1638">
        <v>0.06</v>
      </c>
      <c r="G1638">
        <v>0.1</v>
      </c>
      <c r="H1638">
        <v>0.14000000000000001</v>
      </c>
      <c r="I1638">
        <v>0.18</v>
      </c>
      <c r="J1638">
        <v>0.19</v>
      </c>
      <c r="K1638">
        <v>0.19</v>
      </c>
      <c r="L1638">
        <v>0.2</v>
      </c>
      <c r="M1638">
        <v>0.2</v>
      </c>
      <c r="N1638" s="92">
        <v>0.01</v>
      </c>
    </row>
    <row r="1639" spans="3:14" x14ac:dyDescent="0.2">
      <c r="C1639" t="s">
        <v>585</v>
      </c>
      <c r="D1639">
        <v>0.04</v>
      </c>
      <c r="E1639">
        <v>0.05</v>
      </c>
      <c r="F1639">
        <v>0.04</v>
      </c>
      <c r="G1639">
        <v>7.0000000000000007E-2</v>
      </c>
      <c r="H1639">
        <v>0.09</v>
      </c>
      <c r="I1639">
        <v>0.11</v>
      </c>
      <c r="J1639">
        <v>0.12</v>
      </c>
      <c r="K1639">
        <v>0.12</v>
      </c>
      <c r="L1639">
        <v>0.12</v>
      </c>
      <c r="M1639">
        <v>0.12</v>
      </c>
      <c r="N1639" s="92">
        <v>0.04</v>
      </c>
    </row>
    <row r="1640" spans="3:14" x14ac:dyDescent="0.2">
      <c r="C1640" t="s">
        <v>586</v>
      </c>
      <c r="D1640">
        <v>0.28999999999999998</v>
      </c>
      <c r="E1640">
        <v>0.41</v>
      </c>
      <c r="F1640">
        <v>0.42</v>
      </c>
      <c r="G1640">
        <v>0.42</v>
      </c>
      <c r="H1640">
        <v>0.44</v>
      </c>
      <c r="I1640">
        <v>0.44</v>
      </c>
      <c r="J1640">
        <v>0.44</v>
      </c>
      <c r="K1640">
        <v>0.44</v>
      </c>
      <c r="L1640">
        <v>0.44</v>
      </c>
      <c r="M1640">
        <v>0.44</v>
      </c>
      <c r="N1640" s="92">
        <v>0.36</v>
      </c>
    </row>
    <row r="1641" spans="3:14" x14ac:dyDescent="0.2">
      <c r="C1641" t="s">
        <v>587</v>
      </c>
      <c r="D1641">
        <v>0.02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 s="92">
        <v>0.01</v>
      </c>
    </row>
    <row r="1642" spans="3:14" x14ac:dyDescent="0.2">
      <c r="C1642" t="s">
        <v>588</v>
      </c>
      <c r="D1642" s="20">
        <f t="shared" ref="D1642:I1642" si="834">D1622+D1625+D1626+D1630</f>
        <v>32.71</v>
      </c>
      <c r="E1642" s="20">
        <f t="shared" si="834"/>
        <v>33.72</v>
      </c>
      <c r="F1642" s="20">
        <f t="shared" si="834"/>
        <v>34.71</v>
      </c>
      <c r="G1642" s="20">
        <f t="shared" si="834"/>
        <v>34.69</v>
      </c>
      <c r="H1642" s="20">
        <f t="shared" si="834"/>
        <v>32.47</v>
      </c>
      <c r="I1642" s="20">
        <f t="shared" si="834"/>
        <v>31.72</v>
      </c>
      <c r="J1642" s="20">
        <f>J1622+J1626+J1630</f>
        <v>34.83</v>
      </c>
      <c r="K1642" s="20">
        <f>K1622+K1626+K1630</f>
        <v>35.19</v>
      </c>
      <c r="L1642" s="20">
        <f>L1622+L1626+L1630</f>
        <v>36.130000000000003</v>
      </c>
      <c r="M1642" s="20">
        <f>M1622+M1626+M1630</f>
        <v>36.760000000000005</v>
      </c>
      <c r="N1642" s="94">
        <f>N1622+N1625+N1626+N1630</f>
        <v>28.02</v>
      </c>
    </row>
    <row r="1643" spans="3:14" x14ac:dyDescent="0.2">
      <c r="C1643" t="s">
        <v>589</v>
      </c>
      <c r="D1643">
        <v>-1.33</v>
      </c>
      <c r="E1643">
        <v>-1.53</v>
      </c>
      <c r="F1643">
        <v>-2.21</v>
      </c>
      <c r="G1643">
        <v>-3.42</v>
      </c>
      <c r="H1643">
        <v>-3.42</v>
      </c>
      <c r="I1643">
        <v>-3.42</v>
      </c>
      <c r="J1643">
        <v>-3.42</v>
      </c>
      <c r="K1643">
        <v>-3.42</v>
      </c>
      <c r="L1643">
        <v>-3.42</v>
      </c>
      <c r="M1643">
        <v>-3.42</v>
      </c>
      <c r="N1643" s="92">
        <v>-1.33</v>
      </c>
    </row>
    <row r="1644" spans="3:14" x14ac:dyDescent="0.2">
      <c r="C1644" s="14" t="s">
        <v>590</v>
      </c>
      <c r="D1644" s="32">
        <f>D1642+D1643</f>
        <v>31.380000000000003</v>
      </c>
      <c r="E1644" s="32">
        <f t="shared" ref="E1644:M1644" si="835">E1642+E1643</f>
        <v>32.19</v>
      </c>
      <c r="F1644" s="32">
        <f t="shared" si="835"/>
        <v>32.5</v>
      </c>
      <c r="G1644" s="32">
        <f t="shared" si="835"/>
        <v>31.269999999999996</v>
      </c>
      <c r="H1644" s="32">
        <f t="shared" si="835"/>
        <v>29.049999999999997</v>
      </c>
      <c r="I1644" s="32">
        <f t="shared" si="835"/>
        <v>28.299999999999997</v>
      </c>
      <c r="J1644" s="32">
        <f t="shared" si="835"/>
        <v>31.409999999999997</v>
      </c>
      <c r="K1644" s="32">
        <f t="shared" si="835"/>
        <v>31.769999999999996</v>
      </c>
      <c r="L1644" s="32">
        <f t="shared" si="835"/>
        <v>32.71</v>
      </c>
      <c r="M1644" s="32">
        <f t="shared" si="835"/>
        <v>33.340000000000003</v>
      </c>
      <c r="N1644" s="95">
        <f>N1642+N1643</f>
        <v>26.689999999999998</v>
      </c>
    </row>
    <row r="1645" spans="3:14" x14ac:dyDescent="0.2">
      <c r="C1645" t="s">
        <v>591</v>
      </c>
      <c r="D1645">
        <v>8.56</v>
      </c>
      <c r="E1645">
        <v>7.88</v>
      </c>
      <c r="F1645">
        <v>7.88</v>
      </c>
      <c r="G1645">
        <v>4.5999999999999996</v>
      </c>
      <c r="H1645">
        <v>3.85</v>
      </c>
      <c r="I1645">
        <v>3.85</v>
      </c>
      <c r="J1645">
        <v>1.19</v>
      </c>
      <c r="K1645">
        <v>0.6</v>
      </c>
      <c r="N1645" s="92">
        <v>8.2200000000000006</v>
      </c>
    </row>
    <row r="1646" spans="3:14" x14ac:dyDescent="0.2">
      <c r="C1646" t="s">
        <v>592</v>
      </c>
      <c r="D1646">
        <v>8.56</v>
      </c>
      <c r="E1646">
        <v>7.88</v>
      </c>
      <c r="F1646">
        <v>7.88</v>
      </c>
      <c r="G1646">
        <v>4.5999999999999996</v>
      </c>
      <c r="H1646">
        <v>3.85</v>
      </c>
      <c r="I1646">
        <v>3.85</v>
      </c>
      <c r="J1646">
        <v>1.19</v>
      </c>
      <c r="K1646">
        <v>0.6</v>
      </c>
      <c r="L1646" t="s">
        <v>3</v>
      </c>
      <c r="M1646" t="s">
        <v>3</v>
      </c>
      <c r="N1646" s="92">
        <v>8.2200000000000006</v>
      </c>
    </row>
    <row r="1647" spans="3:14" x14ac:dyDescent="0.2">
      <c r="C1647" t="s">
        <v>593</v>
      </c>
      <c r="D1647" t="s">
        <v>3</v>
      </c>
      <c r="E1647" t="s">
        <v>3</v>
      </c>
      <c r="F1647" t="s">
        <v>3</v>
      </c>
      <c r="G1647" t="s">
        <v>3</v>
      </c>
      <c r="H1647" t="s">
        <v>3</v>
      </c>
      <c r="I1647" t="s">
        <v>3</v>
      </c>
      <c r="J1647" t="s">
        <v>3</v>
      </c>
      <c r="K1647" t="s">
        <v>3</v>
      </c>
      <c r="L1647" t="s">
        <v>3</v>
      </c>
      <c r="M1647" t="s">
        <v>3</v>
      </c>
      <c r="N1647" s="92" t="s">
        <v>3</v>
      </c>
    </row>
    <row r="1648" spans="3:14" x14ac:dyDescent="0.2">
      <c r="C1648" t="s">
        <v>594</v>
      </c>
      <c r="D1648">
        <v>14.39</v>
      </c>
      <c r="E1648">
        <v>11.09</v>
      </c>
      <c r="F1648">
        <v>10.71</v>
      </c>
      <c r="G1648">
        <v>5.52</v>
      </c>
      <c r="H1648">
        <v>2.2400000000000002</v>
      </c>
      <c r="I1648">
        <v>1.1399999999999999</v>
      </c>
      <c r="J1648">
        <v>1.1399999999999999</v>
      </c>
      <c r="K1648">
        <v>0.3</v>
      </c>
      <c r="N1648" s="92">
        <v>6.9</v>
      </c>
    </row>
    <row r="1649" spans="2:14" x14ac:dyDescent="0.2">
      <c r="C1649" t="s">
        <v>612</v>
      </c>
      <c r="D1649">
        <v>1.35</v>
      </c>
      <c r="E1649">
        <v>1.1399999999999999</v>
      </c>
      <c r="F1649">
        <v>1.1399999999999999</v>
      </c>
      <c r="G1649">
        <v>1.1399999999999999</v>
      </c>
      <c r="H1649">
        <v>1.1399999999999999</v>
      </c>
      <c r="I1649">
        <v>1.1399999999999999</v>
      </c>
      <c r="J1649">
        <v>1.1399999999999999</v>
      </c>
      <c r="K1649">
        <v>0.3</v>
      </c>
      <c r="L1649" t="s">
        <v>3</v>
      </c>
      <c r="M1649" t="s">
        <v>3</v>
      </c>
      <c r="N1649" s="92">
        <v>1.1399999999999999</v>
      </c>
    </row>
    <row r="1650" spans="2:14" x14ac:dyDescent="0.2">
      <c r="C1650" t="s">
        <v>596</v>
      </c>
      <c r="D1650">
        <v>13.04</v>
      </c>
      <c r="E1650">
        <v>9.9600000000000009</v>
      </c>
      <c r="F1650">
        <v>9.57</v>
      </c>
      <c r="G1650">
        <v>4.3899999999999997</v>
      </c>
      <c r="H1650">
        <v>1.1000000000000001</v>
      </c>
      <c r="I1650">
        <v>0</v>
      </c>
      <c r="J1650" t="s">
        <v>3</v>
      </c>
      <c r="K1650">
        <v>0</v>
      </c>
      <c r="L1650" t="s">
        <v>3</v>
      </c>
      <c r="M1650" t="s">
        <v>3</v>
      </c>
      <c r="N1650" s="92">
        <v>5.76</v>
      </c>
    </row>
    <row r="1651" spans="2:14" x14ac:dyDescent="0.2">
      <c r="C1651" s="14" t="s">
        <v>597</v>
      </c>
      <c r="D1651" s="32">
        <f>D1645-D1648</f>
        <v>-5.83</v>
      </c>
      <c r="E1651" s="32">
        <f t="shared" ref="E1651:M1651" si="836">E1645-E1648</f>
        <v>-3.21</v>
      </c>
      <c r="F1651" s="32">
        <f t="shared" si="836"/>
        <v>-2.830000000000001</v>
      </c>
      <c r="G1651" s="32">
        <f t="shared" si="836"/>
        <v>-0.91999999999999993</v>
      </c>
      <c r="H1651" s="32">
        <f t="shared" si="836"/>
        <v>1.6099999999999999</v>
      </c>
      <c r="I1651" s="32">
        <f t="shared" si="836"/>
        <v>2.71</v>
      </c>
      <c r="J1651" s="32">
        <f t="shared" si="836"/>
        <v>5.0000000000000044E-2</v>
      </c>
      <c r="K1651" s="32">
        <f t="shared" si="836"/>
        <v>0.3</v>
      </c>
      <c r="L1651" s="32">
        <f t="shared" si="836"/>
        <v>0</v>
      </c>
      <c r="M1651" s="32">
        <f t="shared" si="836"/>
        <v>0</v>
      </c>
      <c r="N1651" s="95">
        <f>N1645-N1648</f>
        <v>1.3200000000000003</v>
      </c>
    </row>
    <row r="1652" spans="2:14" x14ac:dyDescent="0.2">
      <c r="C1652" t="s">
        <v>598</v>
      </c>
      <c r="D1652" s="20">
        <f>D1644+D1651</f>
        <v>25.550000000000004</v>
      </c>
      <c r="E1652" s="20">
        <f t="shared" ref="E1652:M1652" si="837">E1644+E1651</f>
        <v>28.979999999999997</v>
      </c>
      <c r="F1652" s="20">
        <f t="shared" si="837"/>
        <v>29.669999999999998</v>
      </c>
      <c r="G1652" s="20">
        <f t="shared" si="837"/>
        <v>30.349999999999994</v>
      </c>
      <c r="H1652" s="20">
        <f t="shared" si="837"/>
        <v>30.659999999999997</v>
      </c>
      <c r="I1652" s="20">
        <f t="shared" si="837"/>
        <v>31.009999999999998</v>
      </c>
      <c r="J1652" s="20">
        <f t="shared" si="837"/>
        <v>31.459999999999997</v>
      </c>
      <c r="K1652" s="20">
        <f t="shared" si="837"/>
        <v>32.069999999999993</v>
      </c>
      <c r="L1652" s="20">
        <f t="shared" si="837"/>
        <v>32.71</v>
      </c>
      <c r="M1652" s="20">
        <f t="shared" si="837"/>
        <v>33.340000000000003</v>
      </c>
      <c r="N1652" s="94">
        <f>N1644+N1651</f>
        <v>28.009999999999998</v>
      </c>
    </row>
    <row r="1653" spans="2:14" x14ac:dyDescent="0.2">
      <c r="N1653" s="92"/>
    </row>
    <row r="1654" spans="2:14" x14ac:dyDescent="0.2">
      <c r="C1654" t="s">
        <v>599</v>
      </c>
      <c r="D1654">
        <v>28.23</v>
      </c>
      <c r="E1654">
        <v>31.64</v>
      </c>
      <c r="F1654">
        <v>33.020000000000003</v>
      </c>
      <c r="G1654">
        <v>34.9</v>
      </c>
      <c r="H1654">
        <v>35.21</v>
      </c>
      <c r="I1654">
        <v>35.57</v>
      </c>
      <c r="J1654">
        <v>36.020000000000003</v>
      </c>
      <c r="K1654">
        <v>35.79</v>
      </c>
      <c r="L1654">
        <v>36.130000000000003</v>
      </c>
      <c r="M1654">
        <v>36.76</v>
      </c>
      <c r="N1654" s="92">
        <v>30.48</v>
      </c>
    </row>
    <row r="1655" spans="2:14" x14ac:dyDescent="0.2">
      <c r="N1655" s="92"/>
    </row>
    <row r="1656" spans="2:14" x14ac:dyDescent="0.2">
      <c r="N1656" s="92"/>
    </row>
    <row r="1657" spans="2:14" s="2" customFormat="1" ht="15" x14ac:dyDescent="0.25">
      <c r="B1657" s="2" t="s">
        <v>630</v>
      </c>
      <c r="C1657" s="9"/>
      <c r="N1657" s="96"/>
    </row>
    <row r="1658" spans="2:14" s="2" customFormat="1" ht="15" x14ac:dyDescent="0.25">
      <c r="B1658" s="2" t="s">
        <v>631</v>
      </c>
      <c r="N1658" s="96"/>
    </row>
    <row r="1659" spans="2:14" s="2" customFormat="1" ht="15" x14ac:dyDescent="0.25">
      <c r="B1659" s="13" t="s">
        <v>567</v>
      </c>
      <c r="D1659" s="2">
        <v>2000</v>
      </c>
      <c r="E1659" s="2">
        <v>2010</v>
      </c>
      <c r="F1659" s="2">
        <v>2015</v>
      </c>
      <c r="G1659" s="2">
        <v>2020</v>
      </c>
      <c r="H1659" s="2">
        <v>2025</v>
      </c>
      <c r="I1659" s="2">
        <v>2030</v>
      </c>
      <c r="J1659" s="2">
        <v>2035</v>
      </c>
      <c r="K1659" s="2">
        <v>2040</v>
      </c>
      <c r="L1659" s="2">
        <v>2045</v>
      </c>
      <c r="M1659" s="2">
        <v>2050</v>
      </c>
      <c r="N1659" s="96">
        <v>2005</v>
      </c>
    </row>
    <row r="1660" spans="2:14" x14ac:dyDescent="0.2">
      <c r="C1660" t="s">
        <v>568</v>
      </c>
      <c r="D1660">
        <v>38.380000000000003</v>
      </c>
      <c r="E1660">
        <v>35.42</v>
      </c>
      <c r="F1660">
        <v>39</v>
      </c>
      <c r="G1660">
        <v>41.96</v>
      </c>
      <c r="H1660">
        <v>42.35</v>
      </c>
      <c r="I1660">
        <v>42.67</v>
      </c>
      <c r="J1660">
        <v>43.02</v>
      </c>
      <c r="K1660">
        <v>43.44</v>
      </c>
      <c r="L1660">
        <v>43.82</v>
      </c>
      <c r="M1660">
        <v>44.15</v>
      </c>
      <c r="N1660" s="92">
        <v>34.340000000000003</v>
      </c>
    </row>
    <row r="1661" spans="2:14" x14ac:dyDescent="0.2">
      <c r="C1661" t="s">
        <v>602</v>
      </c>
      <c r="D1661">
        <v>38.380000000000003</v>
      </c>
      <c r="E1661">
        <v>35.42</v>
      </c>
      <c r="F1661">
        <v>36.950000000000003</v>
      </c>
      <c r="G1661">
        <v>36.869999999999997</v>
      </c>
      <c r="H1661">
        <v>36.83</v>
      </c>
      <c r="I1661">
        <v>36.75</v>
      </c>
      <c r="J1661">
        <v>36.54</v>
      </c>
      <c r="K1661">
        <v>36.409999999999997</v>
      </c>
      <c r="L1661">
        <v>35.85</v>
      </c>
      <c r="M1661">
        <v>35.57</v>
      </c>
      <c r="N1661" s="92">
        <v>34.340000000000003</v>
      </c>
    </row>
    <row r="1662" spans="2:14" x14ac:dyDescent="0.2">
      <c r="C1662" t="s">
        <v>603</v>
      </c>
      <c r="D1662" t="s">
        <v>3</v>
      </c>
      <c r="E1662" t="s">
        <v>3</v>
      </c>
      <c r="F1662">
        <v>2.0499999999999998</v>
      </c>
      <c r="G1662">
        <v>5.09</v>
      </c>
      <c r="H1662">
        <v>5.52</v>
      </c>
      <c r="I1662">
        <v>5.91</v>
      </c>
      <c r="J1662">
        <v>6.48</v>
      </c>
      <c r="K1662">
        <v>7.02</v>
      </c>
      <c r="L1662">
        <v>7.96</v>
      </c>
      <c r="M1662">
        <v>8.57</v>
      </c>
      <c r="N1662" s="92" t="s">
        <v>3</v>
      </c>
    </row>
    <row r="1663" spans="2:14" x14ac:dyDescent="0.2">
      <c r="C1663" t="s">
        <v>571</v>
      </c>
      <c r="D1663">
        <v>24.73</v>
      </c>
      <c r="E1663">
        <v>25.13</v>
      </c>
      <c r="F1663">
        <v>24.58</v>
      </c>
      <c r="G1663">
        <v>21.68</v>
      </c>
      <c r="H1663">
        <v>15.98</v>
      </c>
      <c r="I1663">
        <v>8.81</v>
      </c>
      <c r="J1663">
        <v>0</v>
      </c>
      <c r="K1663">
        <v>0</v>
      </c>
      <c r="L1663">
        <v>0</v>
      </c>
      <c r="M1663">
        <v>0</v>
      </c>
      <c r="N1663" s="92">
        <v>21.9</v>
      </c>
    </row>
    <row r="1664" spans="2:14" x14ac:dyDescent="0.2">
      <c r="C1664" t="s">
        <v>604</v>
      </c>
      <c r="D1664">
        <v>1.79</v>
      </c>
      <c r="E1664">
        <v>2.1800000000000002</v>
      </c>
      <c r="F1664">
        <v>2.7</v>
      </c>
      <c r="G1664">
        <v>4.7300000000000004</v>
      </c>
      <c r="H1664">
        <v>8.02</v>
      </c>
      <c r="I1664">
        <v>11.16</v>
      </c>
      <c r="J1664">
        <v>22.24</v>
      </c>
      <c r="K1664">
        <v>18.86</v>
      </c>
      <c r="L1664">
        <v>16.37</v>
      </c>
      <c r="M1664">
        <v>15.56</v>
      </c>
      <c r="N1664" s="92">
        <v>2.0699999999999998</v>
      </c>
    </row>
    <row r="1665" spans="3:14" x14ac:dyDescent="0.2">
      <c r="C1665" t="s">
        <v>605</v>
      </c>
      <c r="D1665">
        <v>1.79</v>
      </c>
      <c r="E1665">
        <v>2.1800000000000002</v>
      </c>
      <c r="F1665">
        <v>1.76</v>
      </c>
      <c r="G1665">
        <v>1.48</v>
      </c>
      <c r="H1665">
        <v>0.92</v>
      </c>
      <c r="I1665">
        <v>0.57999999999999996</v>
      </c>
      <c r="J1665">
        <v>0.32</v>
      </c>
      <c r="K1665" t="s">
        <v>572</v>
      </c>
      <c r="L1665" t="s">
        <v>3</v>
      </c>
      <c r="M1665" t="s">
        <v>3</v>
      </c>
      <c r="N1665" s="92">
        <v>2.0699999999999998</v>
      </c>
    </row>
    <row r="1666" spans="3:14" x14ac:dyDescent="0.2">
      <c r="C1666" t="s">
        <v>606</v>
      </c>
      <c r="D1666" t="s">
        <v>572</v>
      </c>
      <c r="E1666" t="s">
        <v>3</v>
      </c>
      <c r="F1666" t="s">
        <v>3</v>
      </c>
      <c r="G1666">
        <v>1.6</v>
      </c>
      <c r="H1666">
        <v>4.6399999999999997</v>
      </c>
      <c r="I1666">
        <v>7.54</v>
      </c>
      <c r="J1666">
        <v>18.66</v>
      </c>
      <c r="K1666">
        <v>15.42</v>
      </c>
      <c r="L1666">
        <v>12.92</v>
      </c>
      <c r="M1666">
        <v>12.1</v>
      </c>
      <c r="N1666" s="92" t="s">
        <v>572</v>
      </c>
    </row>
    <row r="1667" spans="3:14" x14ac:dyDescent="0.2">
      <c r="C1667" t="s">
        <v>607</v>
      </c>
      <c r="D1667" t="s">
        <v>3</v>
      </c>
      <c r="E1667" t="s">
        <v>3</v>
      </c>
      <c r="F1667">
        <v>0.94</v>
      </c>
      <c r="G1667">
        <v>1.65</v>
      </c>
      <c r="H1667">
        <v>2.4700000000000002</v>
      </c>
      <c r="I1667">
        <v>3.04</v>
      </c>
      <c r="J1667">
        <v>3.26</v>
      </c>
      <c r="K1667">
        <v>3.44</v>
      </c>
      <c r="L1667">
        <v>3.45</v>
      </c>
      <c r="M1667">
        <v>3.45</v>
      </c>
      <c r="N1667" s="92" t="s">
        <v>3</v>
      </c>
    </row>
    <row r="1668" spans="3:14" x14ac:dyDescent="0.2">
      <c r="C1668" t="s">
        <v>608</v>
      </c>
      <c r="D1668">
        <v>0.81</v>
      </c>
      <c r="E1668">
        <v>1.38</v>
      </c>
      <c r="F1668">
        <v>2.36</v>
      </c>
      <c r="G1668">
        <v>3.68</v>
      </c>
      <c r="H1668">
        <v>5.66</v>
      </c>
      <c r="I1668">
        <v>8.24</v>
      </c>
      <c r="J1668">
        <v>11.94</v>
      </c>
      <c r="K1668">
        <v>16.149999999999999</v>
      </c>
      <c r="L1668">
        <v>20.57</v>
      </c>
      <c r="M1668">
        <v>24.22</v>
      </c>
      <c r="N1668" s="92">
        <v>1.01</v>
      </c>
    </row>
    <row r="1669" spans="3:14" x14ac:dyDescent="0.2">
      <c r="C1669" t="s">
        <v>609</v>
      </c>
      <c r="D1669">
        <v>0.81</v>
      </c>
      <c r="E1669">
        <v>1.38</v>
      </c>
      <c r="F1669">
        <v>1.03</v>
      </c>
      <c r="G1669">
        <v>0.92</v>
      </c>
      <c r="H1669">
        <v>0.7</v>
      </c>
      <c r="I1669">
        <v>0.4</v>
      </c>
      <c r="J1669">
        <v>0.1</v>
      </c>
      <c r="K1669">
        <v>0.01</v>
      </c>
      <c r="L1669" t="s">
        <v>572</v>
      </c>
      <c r="M1669" t="s">
        <v>572</v>
      </c>
      <c r="N1669" s="92">
        <v>1.01</v>
      </c>
    </row>
    <row r="1670" spans="3:14" x14ac:dyDescent="0.2">
      <c r="C1670" t="s">
        <v>610</v>
      </c>
      <c r="D1670" t="s">
        <v>572</v>
      </c>
      <c r="E1670" t="s">
        <v>3</v>
      </c>
      <c r="F1670">
        <v>1.34</v>
      </c>
      <c r="G1670">
        <v>2.77</v>
      </c>
      <c r="H1670">
        <v>4.95</v>
      </c>
      <c r="I1670">
        <v>7.84</v>
      </c>
      <c r="J1670">
        <v>11.84</v>
      </c>
      <c r="K1670">
        <v>16.14</v>
      </c>
      <c r="L1670">
        <v>20.57</v>
      </c>
      <c r="M1670">
        <v>24.22</v>
      </c>
      <c r="N1670" s="92" t="s">
        <v>3</v>
      </c>
    </row>
    <row r="1671" spans="3:14" x14ac:dyDescent="0.2">
      <c r="C1671" t="s">
        <v>580</v>
      </c>
      <c r="D1671">
        <v>0.01</v>
      </c>
      <c r="E1671">
        <v>0.08</v>
      </c>
      <c r="F1671">
        <v>0.28000000000000003</v>
      </c>
      <c r="G1671">
        <v>0.52</v>
      </c>
      <c r="H1671">
        <v>0.98</v>
      </c>
      <c r="I1671">
        <v>1.91</v>
      </c>
      <c r="J1671">
        <v>4.4400000000000004</v>
      </c>
      <c r="K1671">
        <v>6.74</v>
      </c>
      <c r="L1671">
        <v>9.23</v>
      </c>
      <c r="M1671">
        <v>11.12</v>
      </c>
      <c r="N1671" s="92">
        <v>0.02</v>
      </c>
    </row>
    <row r="1672" spans="3:14" x14ac:dyDescent="0.2">
      <c r="C1672" t="s">
        <v>581</v>
      </c>
      <c r="D1672">
        <v>0</v>
      </c>
      <c r="E1672">
        <v>0.04</v>
      </c>
      <c r="F1672">
        <v>0.35</v>
      </c>
      <c r="G1672">
        <v>0.66</v>
      </c>
      <c r="H1672">
        <v>0.99</v>
      </c>
      <c r="I1672">
        <v>1.46</v>
      </c>
      <c r="J1672">
        <v>1.76</v>
      </c>
      <c r="K1672">
        <v>2.59</v>
      </c>
      <c r="L1672">
        <v>3.43</v>
      </c>
      <c r="M1672">
        <v>4.26</v>
      </c>
      <c r="N1672" s="92">
        <v>0.01</v>
      </c>
    </row>
    <row r="1673" spans="3:14" x14ac:dyDescent="0.2">
      <c r="C1673" t="s">
        <v>582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 s="92">
        <v>0</v>
      </c>
    </row>
    <row r="1674" spans="3:14" x14ac:dyDescent="0.2">
      <c r="C1674" t="s">
        <v>47</v>
      </c>
      <c r="D1674" t="s">
        <v>572</v>
      </c>
      <c r="E1674" t="s">
        <v>3</v>
      </c>
      <c r="F1674">
        <v>0.1</v>
      </c>
      <c r="G1674">
        <v>0.2</v>
      </c>
      <c r="H1674">
        <v>0.39</v>
      </c>
      <c r="I1674">
        <v>0.78</v>
      </c>
      <c r="J1674">
        <v>1.43</v>
      </c>
      <c r="K1674">
        <v>2.41</v>
      </c>
      <c r="L1674">
        <v>3.48</v>
      </c>
      <c r="M1674">
        <v>4.3899999999999997</v>
      </c>
      <c r="N1674" s="92" t="s">
        <v>572</v>
      </c>
    </row>
    <row r="1675" spans="3:14" x14ac:dyDescent="0.2">
      <c r="C1675" t="s">
        <v>583</v>
      </c>
      <c r="D1675">
        <v>0.01</v>
      </c>
      <c r="E1675">
        <v>0.14000000000000001</v>
      </c>
      <c r="F1675">
        <v>0.33</v>
      </c>
      <c r="G1675">
        <v>0.6</v>
      </c>
      <c r="H1675">
        <v>0.97</v>
      </c>
      <c r="I1675">
        <v>1.21</v>
      </c>
      <c r="J1675">
        <v>1.21</v>
      </c>
      <c r="K1675">
        <v>1.23</v>
      </c>
      <c r="L1675">
        <v>1.23</v>
      </c>
      <c r="M1675">
        <v>1.24</v>
      </c>
      <c r="N1675" s="92">
        <v>0.03</v>
      </c>
    </row>
    <row r="1676" spans="3:14" x14ac:dyDescent="0.2">
      <c r="C1676" t="s">
        <v>584</v>
      </c>
      <c r="D1676">
        <v>0.01</v>
      </c>
      <c r="E1676">
        <v>0.08</v>
      </c>
      <c r="F1676">
        <v>0.21</v>
      </c>
      <c r="G1676">
        <v>0.46</v>
      </c>
      <c r="H1676">
        <v>0.88</v>
      </c>
      <c r="I1676">
        <v>1.29</v>
      </c>
      <c r="J1676">
        <v>1.48</v>
      </c>
      <c r="K1676">
        <v>1.55</v>
      </c>
      <c r="L1676">
        <v>1.58</v>
      </c>
      <c r="M1676">
        <v>1.58</v>
      </c>
      <c r="N1676" s="92">
        <v>0.02</v>
      </c>
    </row>
    <row r="1677" spans="3:14" x14ac:dyDescent="0.2">
      <c r="C1677" t="s">
        <v>585</v>
      </c>
      <c r="D1677">
        <v>0.09</v>
      </c>
      <c r="E1677">
        <v>0.12</v>
      </c>
      <c r="F1677">
        <v>0.1</v>
      </c>
      <c r="G1677">
        <v>0.16</v>
      </c>
      <c r="H1677">
        <v>0.22</v>
      </c>
      <c r="I1677">
        <v>0.27</v>
      </c>
      <c r="J1677">
        <v>0.28999999999999998</v>
      </c>
      <c r="K1677">
        <v>0.28999999999999998</v>
      </c>
      <c r="L1677">
        <v>0.3</v>
      </c>
      <c r="M1677">
        <v>0.3</v>
      </c>
      <c r="N1677" s="92">
        <v>0.11</v>
      </c>
    </row>
    <row r="1678" spans="3:14" x14ac:dyDescent="0.2">
      <c r="C1678" t="s">
        <v>586</v>
      </c>
      <c r="D1678">
        <v>0.63</v>
      </c>
      <c r="E1678">
        <v>0.92</v>
      </c>
      <c r="F1678">
        <v>0.99</v>
      </c>
      <c r="G1678">
        <v>1.1000000000000001</v>
      </c>
      <c r="H1678">
        <v>1.23</v>
      </c>
      <c r="I1678">
        <v>1.32</v>
      </c>
      <c r="J1678">
        <v>1.32</v>
      </c>
      <c r="K1678">
        <v>1.33</v>
      </c>
      <c r="L1678">
        <v>1.33</v>
      </c>
      <c r="M1678">
        <v>1.33</v>
      </c>
      <c r="N1678" s="92">
        <v>0.8</v>
      </c>
    </row>
    <row r="1679" spans="3:14" x14ac:dyDescent="0.2">
      <c r="C1679" t="s">
        <v>587</v>
      </c>
      <c r="D1679">
        <v>0.04</v>
      </c>
      <c r="E1679">
        <v>0</v>
      </c>
      <c r="F1679">
        <v>0.01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 s="92">
        <v>0.02</v>
      </c>
    </row>
    <row r="1680" spans="3:14" x14ac:dyDescent="0.2">
      <c r="C1680" t="s">
        <v>588</v>
      </c>
      <c r="D1680" s="20">
        <f t="shared" ref="D1680:I1680" si="838">D1660+D1663+D1664+D1668</f>
        <v>65.710000000000008</v>
      </c>
      <c r="E1680" s="20">
        <f t="shared" si="838"/>
        <v>64.11</v>
      </c>
      <c r="F1680" s="20">
        <f t="shared" si="838"/>
        <v>68.64</v>
      </c>
      <c r="G1680" s="20">
        <f t="shared" si="838"/>
        <v>72.050000000000011</v>
      </c>
      <c r="H1680" s="20">
        <f t="shared" si="838"/>
        <v>72.009999999999991</v>
      </c>
      <c r="I1680" s="20">
        <f t="shared" si="838"/>
        <v>70.88</v>
      </c>
      <c r="J1680" s="20">
        <f>J1660+J1664+J1668</f>
        <v>77.2</v>
      </c>
      <c r="K1680" s="20">
        <f>K1660+K1664+K1668</f>
        <v>78.449999999999989</v>
      </c>
      <c r="L1680" s="20">
        <f>L1660+L1664+L1668</f>
        <v>80.759999999999991</v>
      </c>
      <c r="M1680" s="20">
        <f>M1660+M1664+M1668</f>
        <v>83.93</v>
      </c>
      <c r="N1680" s="94">
        <f>N1660+N1663+N1664+N1668</f>
        <v>59.32</v>
      </c>
    </row>
    <row r="1681" spans="2:14" x14ac:dyDescent="0.2">
      <c r="C1681" t="s">
        <v>589</v>
      </c>
      <c r="D1681">
        <v>-2.2200000000000002</v>
      </c>
      <c r="E1681">
        <v>-2.56</v>
      </c>
      <c r="F1681">
        <v>-4.34</v>
      </c>
      <c r="G1681">
        <v>-7.54</v>
      </c>
      <c r="H1681">
        <v>-7.54</v>
      </c>
      <c r="I1681">
        <v>-7.54</v>
      </c>
      <c r="J1681">
        <v>-7.54</v>
      </c>
      <c r="K1681">
        <v>-7.54</v>
      </c>
      <c r="L1681">
        <v>-7.54</v>
      </c>
      <c r="M1681">
        <v>-7.54</v>
      </c>
      <c r="N1681" s="92">
        <v>-2.2200000000000002</v>
      </c>
    </row>
    <row r="1682" spans="2:14" x14ac:dyDescent="0.2">
      <c r="C1682" s="14" t="s">
        <v>590</v>
      </c>
      <c r="D1682" s="32">
        <f>D1680+D1681</f>
        <v>63.490000000000009</v>
      </c>
      <c r="E1682" s="32">
        <f t="shared" ref="E1682:M1682" si="839">E1680+E1681</f>
        <v>61.55</v>
      </c>
      <c r="F1682" s="32">
        <f t="shared" si="839"/>
        <v>64.3</v>
      </c>
      <c r="G1682" s="32">
        <f t="shared" si="839"/>
        <v>64.510000000000005</v>
      </c>
      <c r="H1682" s="32">
        <f t="shared" si="839"/>
        <v>64.469999999999985</v>
      </c>
      <c r="I1682" s="32">
        <f t="shared" si="839"/>
        <v>63.339999999999996</v>
      </c>
      <c r="J1682" s="32">
        <f t="shared" si="839"/>
        <v>69.66</v>
      </c>
      <c r="K1682" s="32">
        <f t="shared" si="839"/>
        <v>70.909999999999982</v>
      </c>
      <c r="L1682" s="32">
        <f t="shared" si="839"/>
        <v>73.219999999999985</v>
      </c>
      <c r="M1682" s="32">
        <f t="shared" si="839"/>
        <v>76.39</v>
      </c>
      <c r="N1682" s="95">
        <f>N1680+N1681</f>
        <v>57.1</v>
      </c>
    </row>
    <row r="1683" spans="2:14" x14ac:dyDescent="0.2">
      <c r="C1683" t="s">
        <v>591</v>
      </c>
      <c r="D1683">
        <v>18.72</v>
      </c>
      <c r="E1683">
        <v>17.239999999999998</v>
      </c>
      <c r="F1683">
        <v>17.239999999999998</v>
      </c>
      <c r="G1683">
        <v>10.06</v>
      </c>
      <c r="H1683">
        <v>8.42</v>
      </c>
      <c r="I1683">
        <v>8.42</v>
      </c>
      <c r="J1683">
        <v>2.61</v>
      </c>
      <c r="K1683">
        <v>1.3</v>
      </c>
      <c r="N1683" s="92">
        <v>17.98</v>
      </c>
    </row>
    <row r="1684" spans="2:14" x14ac:dyDescent="0.2">
      <c r="C1684" t="s">
        <v>592</v>
      </c>
      <c r="D1684">
        <v>18.72</v>
      </c>
      <c r="E1684">
        <v>17.239999999999998</v>
      </c>
      <c r="F1684">
        <v>17.239999999999998</v>
      </c>
      <c r="G1684">
        <v>10.06</v>
      </c>
      <c r="H1684">
        <v>8.42</v>
      </c>
      <c r="I1684">
        <v>8.42</v>
      </c>
      <c r="J1684">
        <v>2.61</v>
      </c>
      <c r="K1684">
        <v>1.3</v>
      </c>
      <c r="L1684" t="s">
        <v>3</v>
      </c>
      <c r="M1684" t="s">
        <v>572</v>
      </c>
      <c r="N1684" s="92">
        <v>17.98</v>
      </c>
    </row>
    <row r="1685" spans="2:14" x14ac:dyDescent="0.2">
      <c r="C1685" t="s">
        <v>593</v>
      </c>
      <c r="D1685" t="s">
        <v>572</v>
      </c>
      <c r="E1685" t="s">
        <v>3</v>
      </c>
      <c r="F1685" t="s">
        <v>3</v>
      </c>
      <c r="G1685" t="s">
        <v>3</v>
      </c>
      <c r="H1685" t="s">
        <v>3</v>
      </c>
      <c r="I1685" t="s">
        <v>3</v>
      </c>
      <c r="J1685" t="s">
        <v>572</v>
      </c>
      <c r="K1685" t="s">
        <v>3</v>
      </c>
      <c r="L1685" t="s">
        <v>3</v>
      </c>
      <c r="M1685" t="s">
        <v>3</v>
      </c>
      <c r="N1685" s="92" t="s">
        <v>3</v>
      </c>
    </row>
    <row r="1686" spans="2:14" x14ac:dyDescent="0.2">
      <c r="C1686" t="s">
        <v>594</v>
      </c>
      <c r="D1686">
        <v>26.07</v>
      </c>
      <c r="E1686">
        <v>15.19</v>
      </c>
      <c r="F1686">
        <v>16.21</v>
      </c>
      <c r="G1686">
        <v>7.6</v>
      </c>
      <c r="H1686">
        <v>5.0599999999999996</v>
      </c>
      <c r="I1686">
        <v>2.94</v>
      </c>
      <c r="J1686">
        <v>2.2599999999999998</v>
      </c>
      <c r="K1686">
        <v>0.66</v>
      </c>
      <c r="L1686">
        <v>0.05</v>
      </c>
      <c r="M1686">
        <v>1.59</v>
      </c>
      <c r="N1686" s="92">
        <v>13.75</v>
      </c>
    </row>
    <row r="1687" spans="2:14" x14ac:dyDescent="0.2">
      <c r="C1687" t="s">
        <v>612</v>
      </c>
      <c r="D1687">
        <v>2.83</v>
      </c>
      <c r="E1687">
        <v>2.2599999999999998</v>
      </c>
      <c r="F1687">
        <v>2.2599999999999998</v>
      </c>
      <c r="G1687">
        <v>2.2599999999999998</v>
      </c>
      <c r="H1687">
        <v>2.2599999999999998</v>
      </c>
      <c r="I1687">
        <v>2.2599999999999998</v>
      </c>
      <c r="J1687">
        <v>2.2599999999999998</v>
      </c>
      <c r="K1687">
        <v>0.66</v>
      </c>
      <c r="L1687" t="s">
        <v>572</v>
      </c>
      <c r="M1687" t="s">
        <v>3</v>
      </c>
      <c r="N1687" s="92">
        <v>2.2599999999999998</v>
      </c>
    </row>
    <row r="1688" spans="2:14" x14ac:dyDescent="0.2">
      <c r="C1688" t="s">
        <v>596</v>
      </c>
      <c r="D1688">
        <v>23.24</v>
      </c>
      <c r="E1688">
        <v>12.93</v>
      </c>
      <c r="F1688">
        <v>13.95</v>
      </c>
      <c r="G1688">
        <v>5.34</v>
      </c>
      <c r="H1688">
        <v>2.8</v>
      </c>
      <c r="I1688">
        <v>0.68</v>
      </c>
      <c r="J1688" t="s">
        <v>572</v>
      </c>
      <c r="K1688">
        <v>0</v>
      </c>
      <c r="L1688">
        <v>0.05</v>
      </c>
      <c r="M1688">
        <v>1.59</v>
      </c>
      <c r="N1688" s="92">
        <v>11.49</v>
      </c>
    </row>
    <row r="1689" spans="2:14" x14ac:dyDescent="0.2">
      <c r="C1689" s="14" t="s">
        <v>597</v>
      </c>
      <c r="D1689" s="32">
        <f>D1683-D1686</f>
        <v>-7.3500000000000014</v>
      </c>
      <c r="E1689" s="32">
        <f t="shared" ref="E1689:M1689" si="840">E1683-E1686</f>
        <v>2.0499999999999989</v>
      </c>
      <c r="F1689" s="32">
        <f t="shared" si="840"/>
        <v>1.0299999999999976</v>
      </c>
      <c r="G1689" s="32">
        <f t="shared" si="840"/>
        <v>2.4600000000000009</v>
      </c>
      <c r="H1689" s="32">
        <f t="shared" si="840"/>
        <v>3.3600000000000003</v>
      </c>
      <c r="I1689" s="32">
        <f t="shared" si="840"/>
        <v>5.48</v>
      </c>
      <c r="J1689" s="32">
        <f t="shared" si="840"/>
        <v>0.35000000000000009</v>
      </c>
      <c r="K1689" s="32">
        <f t="shared" si="840"/>
        <v>0.64</v>
      </c>
      <c r="L1689" s="32">
        <f t="shared" si="840"/>
        <v>-0.05</v>
      </c>
      <c r="M1689" s="32">
        <f t="shared" si="840"/>
        <v>-1.59</v>
      </c>
      <c r="N1689" s="95">
        <f>N1683-N1686</f>
        <v>4.2300000000000004</v>
      </c>
    </row>
    <row r="1690" spans="2:14" x14ac:dyDescent="0.2">
      <c r="C1690" t="s">
        <v>598</v>
      </c>
      <c r="D1690" s="20">
        <f>D1682+D1689</f>
        <v>56.140000000000008</v>
      </c>
      <c r="E1690" s="20">
        <f t="shared" ref="E1690:M1690" si="841">E1682+E1689</f>
        <v>63.599999999999994</v>
      </c>
      <c r="F1690" s="20">
        <f t="shared" si="841"/>
        <v>65.33</v>
      </c>
      <c r="G1690" s="20">
        <f t="shared" si="841"/>
        <v>66.97</v>
      </c>
      <c r="H1690" s="20">
        <f t="shared" si="841"/>
        <v>67.829999999999984</v>
      </c>
      <c r="I1690" s="20">
        <f t="shared" si="841"/>
        <v>68.819999999999993</v>
      </c>
      <c r="J1690" s="20">
        <f t="shared" si="841"/>
        <v>70.009999999999991</v>
      </c>
      <c r="K1690" s="20">
        <f t="shared" si="841"/>
        <v>71.549999999999983</v>
      </c>
      <c r="L1690" s="20">
        <f t="shared" si="841"/>
        <v>73.169999999999987</v>
      </c>
      <c r="M1690" s="20">
        <f t="shared" si="841"/>
        <v>74.8</v>
      </c>
      <c r="N1690" s="94">
        <f>N1682+N1689</f>
        <v>61.33</v>
      </c>
    </row>
    <row r="1691" spans="2:14" x14ac:dyDescent="0.2">
      <c r="N1691" s="92"/>
    </row>
    <row r="1692" spans="2:14" x14ac:dyDescent="0.2">
      <c r="C1692" t="s">
        <v>599</v>
      </c>
      <c r="D1692">
        <v>61.18</v>
      </c>
      <c r="E1692">
        <v>68.41</v>
      </c>
      <c r="F1692">
        <v>71.930000000000007</v>
      </c>
      <c r="G1692">
        <v>76.77</v>
      </c>
      <c r="H1692">
        <v>77.64</v>
      </c>
      <c r="I1692">
        <v>78.61</v>
      </c>
      <c r="J1692">
        <v>79.81</v>
      </c>
      <c r="K1692">
        <v>79.75</v>
      </c>
      <c r="L1692">
        <v>80.709999999999994</v>
      </c>
      <c r="M1692">
        <v>82.34</v>
      </c>
      <c r="N1692" s="92">
        <v>65.81</v>
      </c>
    </row>
    <row r="1693" spans="2:14" x14ac:dyDescent="0.2">
      <c r="N1693" s="92"/>
    </row>
    <row r="1694" spans="2:14" x14ac:dyDescent="0.2">
      <c r="N1694" s="92"/>
    </row>
    <row r="1695" spans="2:14" s="2" customFormat="1" ht="15" x14ac:dyDescent="0.25">
      <c r="B1695" s="2" t="s">
        <v>630</v>
      </c>
      <c r="C1695" s="9"/>
      <c r="N1695" s="96"/>
    </row>
    <row r="1696" spans="2:14" s="2" customFormat="1" ht="15" x14ac:dyDescent="0.25">
      <c r="B1696" s="2" t="s">
        <v>600</v>
      </c>
      <c r="N1696" s="96"/>
    </row>
    <row r="1697" spans="2:14" s="2" customFormat="1" ht="15" x14ac:dyDescent="0.25">
      <c r="B1697" s="13" t="s">
        <v>601</v>
      </c>
      <c r="D1697" s="2">
        <v>2000</v>
      </c>
      <c r="E1697" s="2">
        <v>2010</v>
      </c>
      <c r="F1697" s="2">
        <v>2015</v>
      </c>
      <c r="G1697" s="2">
        <v>2020</v>
      </c>
      <c r="H1697" s="2">
        <v>2025</v>
      </c>
      <c r="I1697" s="2">
        <v>2030</v>
      </c>
      <c r="J1697" s="2">
        <v>2035</v>
      </c>
      <c r="K1697" s="2">
        <v>2040</v>
      </c>
      <c r="L1697" s="2">
        <v>2045</v>
      </c>
      <c r="M1697" s="2">
        <v>2050</v>
      </c>
      <c r="N1697" s="96">
        <v>2005</v>
      </c>
    </row>
    <row r="1698" spans="2:14" x14ac:dyDescent="0.2">
      <c r="C1698" t="s">
        <v>568</v>
      </c>
      <c r="D1698">
        <v>17.71</v>
      </c>
      <c r="E1698">
        <v>14.16</v>
      </c>
      <c r="F1698">
        <v>17.079999999999998</v>
      </c>
      <c r="G1698">
        <v>18.98</v>
      </c>
      <c r="H1698">
        <v>19.3</v>
      </c>
      <c r="I1698">
        <v>19.59</v>
      </c>
      <c r="J1698">
        <v>19.89</v>
      </c>
      <c r="K1698">
        <v>20.22</v>
      </c>
      <c r="L1698">
        <v>20.53</v>
      </c>
      <c r="M1698">
        <v>20.86</v>
      </c>
      <c r="N1698" s="92">
        <v>15.56</v>
      </c>
    </row>
    <row r="1699" spans="2:14" x14ac:dyDescent="0.2">
      <c r="C1699" t="s">
        <v>633</v>
      </c>
      <c r="D1699">
        <v>17.71</v>
      </c>
      <c r="E1699">
        <v>14.16</v>
      </c>
      <c r="F1699">
        <v>15.95</v>
      </c>
      <c r="G1699">
        <v>16.09</v>
      </c>
      <c r="H1699">
        <v>16.239999999999998</v>
      </c>
      <c r="I1699">
        <v>16.39</v>
      </c>
      <c r="J1699">
        <v>16.47</v>
      </c>
      <c r="K1699">
        <v>16.59</v>
      </c>
      <c r="L1699">
        <v>16.53</v>
      </c>
      <c r="M1699">
        <v>16.63</v>
      </c>
      <c r="N1699" s="92">
        <v>15.56</v>
      </c>
    </row>
    <row r="1700" spans="2:14" x14ac:dyDescent="0.2">
      <c r="C1700" t="s">
        <v>603</v>
      </c>
      <c r="D1700" t="s">
        <v>3</v>
      </c>
      <c r="E1700" t="s">
        <v>3</v>
      </c>
      <c r="F1700">
        <v>1.1299999999999999</v>
      </c>
      <c r="G1700">
        <v>2.89</v>
      </c>
      <c r="H1700">
        <v>3.05</v>
      </c>
      <c r="I1700">
        <v>3.2</v>
      </c>
      <c r="J1700">
        <v>3.42</v>
      </c>
      <c r="K1700">
        <v>3.62</v>
      </c>
      <c r="L1700">
        <v>4</v>
      </c>
      <c r="M1700">
        <v>4.2300000000000004</v>
      </c>
      <c r="N1700" s="92" t="s">
        <v>3</v>
      </c>
    </row>
    <row r="1701" spans="2:14" x14ac:dyDescent="0.2">
      <c r="C1701" t="s">
        <v>571</v>
      </c>
      <c r="D1701">
        <v>13.72</v>
      </c>
      <c r="E1701">
        <v>14.17</v>
      </c>
      <c r="F1701">
        <v>13.5</v>
      </c>
      <c r="G1701">
        <v>11.91</v>
      </c>
      <c r="H1701">
        <v>8.7799999999999994</v>
      </c>
      <c r="I1701">
        <v>4.84</v>
      </c>
      <c r="J1701">
        <v>0</v>
      </c>
      <c r="K1701">
        <v>0</v>
      </c>
      <c r="L1701">
        <v>0</v>
      </c>
      <c r="M1701">
        <v>0</v>
      </c>
      <c r="N1701" s="92">
        <v>13.94</v>
      </c>
    </row>
    <row r="1702" spans="2:14" x14ac:dyDescent="0.2">
      <c r="C1702" t="s">
        <v>604</v>
      </c>
      <c r="D1702">
        <v>1.1100000000000001</v>
      </c>
      <c r="E1702">
        <v>1.3</v>
      </c>
      <c r="F1702">
        <v>1.63</v>
      </c>
      <c r="G1702">
        <v>3.5</v>
      </c>
      <c r="H1702">
        <v>6.72</v>
      </c>
      <c r="I1702">
        <v>9.77</v>
      </c>
      <c r="J1702">
        <v>16.89</v>
      </c>
      <c r="K1702">
        <v>15.77</v>
      </c>
      <c r="L1702">
        <v>15.06</v>
      </c>
      <c r="M1702">
        <v>14.24</v>
      </c>
      <c r="N1702" s="92">
        <v>1.25</v>
      </c>
    </row>
    <row r="1703" spans="2:14" x14ac:dyDescent="0.2">
      <c r="C1703" t="s">
        <v>605</v>
      </c>
      <c r="D1703">
        <v>1.1100000000000001</v>
      </c>
      <c r="E1703">
        <v>1.3</v>
      </c>
      <c r="F1703">
        <v>1.05</v>
      </c>
      <c r="G1703">
        <v>0.86</v>
      </c>
      <c r="H1703">
        <v>0.53</v>
      </c>
      <c r="I1703">
        <v>0.34</v>
      </c>
      <c r="J1703">
        <v>0.18</v>
      </c>
      <c r="K1703" t="s">
        <v>572</v>
      </c>
      <c r="L1703" t="s">
        <v>3</v>
      </c>
      <c r="M1703" t="s">
        <v>3</v>
      </c>
      <c r="N1703" s="92">
        <v>1.25</v>
      </c>
    </row>
    <row r="1704" spans="2:14" x14ac:dyDescent="0.2">
      <c r="C1704" t="s">
        <v>606</v>
      </c>
      <c r="D1704" t="s">
        <v>572</v>
      </c>
      <c r="E1704" t="s">
        <v>3</v>
      </c>
      <c r="F1704" t="s">
        <v>3</v>
      </c>
      <c r="G1704">
        <v>1.6</v>
      </c>
      <c r="H1704">
        <v>4.6399999999999997</v>
      </c>
      <c r="I1704">
        <v>7.54</v>
      </c>
      <c r="J1704">
        <v>14.68</v>
      </c>
      <c r="K1704">
        <v>13.64</v>
      </c>
      <c r="L1704">
        <v>12.92</v>
      </c>
      <c r="M1704">
        <v>12.1</v>
      </c>
      <c r="N1704" s="92" t="s">
        <v>572</v>
      </c>
    </row>
    <row r="1705" spans="2:14" x14ac:dyDescent="0.2">
      <c r="C1705" t="s">
        <v>607</v>
      </c>
      <c r="D1705" t="s">
        <v>572</v>
      </c>
      <c r="E1705" t="s">
        <v>3</v>
      </c>
      <c r="F1705">
        <v>0.57999999999999996</v>
      </c>
      <c r="G1705">
        <v>1.04</v>
      </c>
      <c r="H1705">
        <v>1.55</v>
      </c>
      <c r="I1705">
        <v>1.9</v>
      </c>
      <c r="J1705">
        <v>2.0299999999999998</v>
      </c>
      <c r="K1705">
        <v>2.13</v>
      </c>
      <c r="L1705">
        <v>2.14</v>
      </c>
      <c r="M1705">
        <v>2.14</v>
      </c>
      <c r="N1705" s="92" t="s">
        <v>572</v>
      </c>
    </row>
    <row r="1706" spans="2:14" x14ac:dyDescent="0.2">
      <c r="C1706" t="s">
        <v>608</v>
      </c>
      <c r="D1706">
        <v>0.45</v>
      </c>
      <c r="E1706">
        <v>0.76</v>
      </c>
      <c r="F1706">
        <v>1.3</v>
      </c>
      <c r="G1706">
        <v>2.02</v>
      </c>
      <c r="H1706">
        <v>3.06</v>
      </c>
      <c r="I1706">
        <v>4.28</v>
      </c>
      <c r="J1706">
        <v>5.6</v>
      </c>
      <c r="K1706">
        <v>7.27</v>
      </c>
      <c r="L1706">
        <v>8.99</v>
      </c>
      <c r="M1706">
        <v>10.47</v>
      </c>
      <c r="N1706" s="92">
        <v>0.55000000000000004</v>
      </c>
    </row>
    <row r="1707" spans="2:14" x14ac:dyDescent="0.2">
      <c r="C1707" t="s">
        <v>609</v>
      </c>
      <c r="D1707">
        <v>0.45</v>
      </c>
      <c r="E1707">
        <v>0.76</v>
      </c>
      <c r="F1707">
        <v>0.56000000000000005</v>
      </c>
      <c r="G1707">
        <v>0.5</v>
      </c>
      <c r="H1707">
        <v>0.38</v>
      </c>
      <c r="I1707">
        <v>0.21</v>
      </c>
      <c r="J1707">
        <v>0.05</v>
      </c>
      <c r="K1707">
        <v>0</v>
      </c>
      <c r="L1707" t="s">
        <v>3</v>
      </c>
      <c r="M1707" t="s">
        <v>3</v>
      </c>
      <c r="N1707" s="92">
        <v>0.55000000000000004</v>
      </c>
    </row>
    <row r="1708" spans="2:14" x14ac:dyDescent="0.2">
      <c r="C1708" t="s">
        <v>610</v>
      </c>
      <c r="D1708" t="s">
        <v>572</v>
      </c>
      <c r="E1708" t="s">
        <v>3</v>
      </c>
      <c r="F1708">
        <v>0.74</v>
      </c>
      <c r="G1708">
        <v>1.52</v>
      </c>
      <c r="H1708">
        <v>2.68</v>
      </c>
      <c r="I1708">
        <v>4.07</v>
      </c>
      <c r="J1708">
        <v>5.54</v>
      </c>
      <c r="K1708">
        <v>7.26</v>
      </c>
      <c r="L1708">
        <v>8.99</v>
      </c>
      <c r="M1708">
        <v>10.47</v>
      </c>
      <c r="N1708" s="92" t="s">
        <v>3</v>
      </c>
    </row>
    <row r="1709" spans="2:14" x14ac:dyDescent="0.2">
      <c r="C1709" t="s">
        <v>580</v>
      </c>
      <c r="D1709">
        <v>0</v>
      </c>
      <c r="E1709">
        <v>0.02</v>
      </c>
      <c r="F1709">
        <v>0.08</v>
      </c>
      <c r="G1709">
        <v>0.14000000000000001</v>
      </c>
      <c r="H1709">
        <v>0.26</v>
      </c>
      <c r="I1709">
        <v>0.52</v>
      </c>
      <c r="J1709">
        <v>1.2</v>
      </c>
      <c r="K1709">
        <v>1.82</v>
      </c>
      <c r="L1709">
        <v>2.4900000000000002</v>
      </c>
      <c r="M1709">
        <v>3</v>
      </c>
      <c r="N1709" s="92">
        <v>0.01</v>
      </c>
    </row>
    <row r="1710" spans="2:14" x14ac:dyDescent="0.2">
      <c r="C1710" t="s">
        <v>581</v>
      </c>
      <c r="D1710">
        <v>0</v>
      </c>
      <c r="E1710">
        <v>0.02</v>
      </c>
      <c r="F1710">
        <v>0.21</v>
      </c>
      <c r="G1710">
        <v>0.4</v>
      </c>
      <c r="H1710">
        <v>0.59</v>
      </c>
      <c r="I1710">
        <v>0.88</v>
      </c>
      <c r="J1710">
        <v>1.06</v>
      </c>
      <c r="K1710">
        <v>1.56</v>
      </c>
      <c r="L1710">
        <v>2.06</v>
      </c>
      <c r="M1710">
        <v>2.56</v>
      </c>
      <c r="N1710" s="92">
        <v>0.01</v>
      </c>
    </row>
    <row r="1711" spans="2:14" x14ac:dyDescent="0.2">
      <c r="C1711" t="s">
        <v>582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s="92">
        <v>0</v>
      </c>
    </row>
    <row r="1712" spans="2:14" x14ac:dyDescent="0.2">
      <c r="C1712" t="s">
        <v>47</v>
      </c>
      <c r="D1712" t="s">
        <v>572</v>
      </c>
      <c r="E1712" t="s">
        <v>3</v>
      </c>
      <c r="F1712">
        <v>0.05</v>
      </c>
      <c r="G1712">
        <v>0.1</v>
      </c>
      <c r="H1712">
        <v>0.2</v>
      </c>
      <c r="I1712">
        <v>0.39</v>
      </c>
      <c r="J1712">
        <v>0.72</v>
      </c>
      <c r="K1712">
        <v>1.2</v>
      </c>
      <c r="L1712">
        <v>1.74</v>
      </c>
      <c r="M1712">
        <v>2.19</v>
      </c>
      <c r="N1712" s="92" t="s">
        <v>572</v>
      </c>
    </row>
    <row r="1713" spans="3:14" x14ac:dyDescent="0.2">
      <c r="C1713" t="s">
        <v>583</v>
      </c>
      <c r="D1713">
        <v>0.01</v>
      </c>
      <c r="E1713">
        <v>0.09</v>
      </c>
      <c r="F1713">
        <v>0.23</v>
      </c>
      <c r="G1713">
        <v>0.41</v>
      </c>
      <c r="H1713">
        <v>0.66</v>
      </c>
      <c r="I1713">
        <v>0.82</v>
      </c>
      <c r="J1713">
        <v>0.82</v>
      </c>
      <c r="K1713">
        <v>0.83</v>
      </c>
      <c r="L1713">
        <v>0.83</v>
      </c>
      <c r="M1713">
        <v>0.84</v>
      </c>
      <c r="N1713" s="92">
        <v>0.02</v>
      </c>
    </row>
    <row r="1714" spans="3:14" x14ac:dyDescent="0.2">
      <c r="C1714" t="s">
        <v>584</v>
      </c>
      <c r="D1714">
        <v>0.01</v>
      </c>
      <c r="E1714">
        <v>0.05</v>
      </c>
      <c r="F1714">
        <v>0.13</v>
      </c>
      <c r="G1714">
        <v>0.28000000000000003</v>
      </c>
      <c r="H1714">
        <v>0.54</v>
      </c>
      <c r="I1714">
        <v>0.79</v>
      </c>
      <c r="J1714">
        <v>0.91</v>
      </c>
      <c r="K1714">
        <v>0.95</v>
      </c>
      <c r="L1714">
        <v>0.97</v>
      </c>
      <c r="M1714">
        <v>0.97</v>
      </c>
      <c r="N1714" s="92">
        <v>0.01</v>
      </c>
    </row>
    <row r="1715" spans="3:14" x14ac:dyDescent="0.2">
      <c r="C1715" t="s">
        <v>585</v>
      </c>
      <c r="D1715">
        <v>0.05</v>
      </c>
      <c r="E1715">
        <v>7.0000000000000007E-2</v>
      </c>
      <c r="F1715">
        <v>0.06</v>
      </c>
      <c r="G1715">
        <v>0.09</v>
      </c>
      <c r="H1715">
        <v>0.13</v>
      </c>
      <c r="I1715">
        <v>0.16</v>
      </c>
      <c r="J1715">
        <v>0.17</v>
      </c>
      <c r="K1715">
        <v>0.17</v>
      </c>
      <c r="L1715">
        <v>0.18</v>
      </c>
      <c r="M1715">
        <v>0.18</v>
      </c>
      <c r="N1715" s="92">
        <v>0.06</v>
      </c>
    </row>
    <row r="1716" spans="3:14" x14ac:dyDescent="0.2">
      <c r="C1716" t="s">
        <v>586</v>
      </c>
      <c r="D1716">
        <v>0.35</v>
      </c>
      <c r="E1716">
        <v>0.51</v>
      </c>
      <c r="F1716">
        <v>0.54</v>
      </c>
      <c r="G1716">
        <v>0.6</v>
      </c>
      <c r="H1716">
        <v>0.68</v>
      </c>
      <c r="I1716">
        <v>0.73</v>
      </c>
      <c r="J1716">
        <v>0.73</v>
      </c>
      <c r="K1716">
        <v>0.73</v>
      </c>
      <c r="L1716">
        <v>0.73</v>
      </c>
      <c r="M1716">
        <v>0.73</v>
      </c>
      <c r="N1716" s="92">
        <v>0.44</v>
      </c>
    </row>
    <row r="1717" spans="3:14" x14ac:dyDescent="0.2">
      <c r="C1717" t="s">
        <v>587</v>
      </c>
      <c r="D1717">
        <v>0.02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 s="92">
        <v>0.01</v>
      </c>
    </row>
    <row r="1718" spans="3:14" x14ac:dyDescent="0.2">
      <c r="C1718" t="s">
        <v>588</v>
      </c>
      <c r="D1718" s="20">
        <f t="shared" ref="D1718:I1718" si="842">D1698+D1701+D1702+D1706</f>
        <v>32.99</v>
      </c>
      <c r="E1718" s="20">
        <f t="shared" si="842"/>
        <v>30.39</v>
      </c>
      <c r="F1718" s="20">
        <f t="shared" si="842"/>
        <v>33.51</v>
      </c>
      <c r="G1718" s="20">
        <f t="shared" si="842"/>
        <v>36.410000000000004</v>
      </c>
      <c r="H1718" s="20">
        <f t="shared" si="842"/>
        <v>37.86</v>
      </c>
      <c r="I1718" s="20">
        <f t="shared" si="842"/>
        <v>38.480000000000004</v>
      </c>
      <c r="J1718" s="20">
        <f>J1698+J1702+J1706</f>
        <v>42.38</v>
      </c>
      <c r="K1718" s="20">
        <f>K1698+K1702+K1706</f>
        <v>43.259999999999991</v>
      </c>
      <c r="L1718" s="20">
        <f>L1698+L1702+L1706</f>
        <v>44.580000000000005</v>
      </c>
      <c r="M1718" s="20">
        <f>M1698+M1702+M1706</f>
        <v>45.57</v>
      </c>
      <c r="N1718" s="94">
        <f>N1698+N1701+N1702+N1706</f>
        <v>31.3</v>
      </c>
    </row>
    <row r="1719" spans="3:14" x14ac:dyDescent="0.2">
      <c r="C1719" t="s">
        <v>589</v>
      </c>
      <c r="D1719">
        <v>-0.89</v>
      </c>
      <c r="E1719">
        <v>-1.02</v>
      </c>
      <c r="F1719">
        <v>-2.13</v>
      </c>
      <c r="G1719">
        <v>-4.12</v>
      </c>
      <c r="H1719">
        <v>-4.12</v>
      </c>
      <c r="I1719">
        <v>-4.12</v>
      </c>
      <c r="J1719">
        <v>-4.12</v>
      </c>
      <c r="K1719">
        <v>-4.12</v>
      </c>
      <c r="L1719">
        <v>-4.12</v>
      </c>
      <c r="M1719">
        <v>-4.12</v>
      </c>
      <c r="N1719" s="92">
        <v>-0.89</v>
      </c>
    </row>
    <row r="1720" spans="3:14" x14ac:dyDescent="0.2">
      <c r="C1720" s="14" t="s">
        <v>590</v>
      </c>
      <c r="D1720" s="32">
        <f>D1718+D1719</f>
        <v>32.1</v>
      </c>
      <c r="E1720" s="32">
        <f t="shared" ref="E1720:M1720" si="843">E1718+E1719</f>
        <v>29.37</v>
      </c>
      <c r="F1720" s="32">
        <f t="shared" si="843"/>
        <v>31.38</v>
      </c>
      <c r="G1720" s="32">
        <f t="shared" si="843"/>
        <v>32.290000000000006</v>
      </c>
      <c r="H1720" s="32">
        <f t="shared" si="843"/>
        <v>33.74</v>
      </c>
      <c r="I1720" s="32">
        <f t="shared" si="843"/>
        <v>34.360000000000007</v>
      </c>
      <c r="J1720" s="32">
        <f t="shared" si="843"/>
        <v>38.260000000000005</v>
      </c>
      <c r="K1720" s="32">
        <f t="shared" si="843"/>
        <v>39.139999999999993</v>
      </c>
      <c r="L1720" s="32">
        <f t="shared" si="843"/>
        <v>40.460000000000008</v>
      </c>
      <c r="M1720" s="32">
        <f t="shared" si="843"/>
        <v>41.45</v>
      </c>
      <c r="N1720" s="95">
        <f>N1718+N1719</f>
        <v>30.41</v>
      </c>
    </row>
    <row r="1721" spans="3:14" x14ac:dyDescent="0.2">
      <c r="C1721" t="s">
        <v>591</v>
      </c>
      <c r="D1721">
        <v>10.16</v>
      </c>
      <c r="E1721">
        <v>9.36</v>
      </c>
      <c r="F1721">
        <v>9.36</v>
      </c>
      <c r="G1721">
        <v>5.46</v>
      </c>
      <c r="H1721">
        <v>4.57</v>
      </c>
      <c r="I1721">
        <v>4.57</v>
      </c>
      <c r="J1721">
        <v>1.42</v>
      </c>
      <c r="K1721">
        <v>0.71</v>
      </c>
      <c r="N1721" s="92">
        <v>9.76</v>
      </c>
    </row>
    <row r="1722" spans="3:14" x14ac:dyDescent="0.2">
      <c r="C1722" t="s">
        <v>592</v>
      </c>
      <c r="D1722">
        <v>10.16</v>
      </c>
      <c r="E1722">
        <v>9.36</v>
      </c>
      <c r="F1722">
        <v>9.36</v>
      </c>
      <c r="G1722">
        <v>5.46</v>
      </c>
      <c r="H1722">
        <v>4.57</v>
      </c>
      <c r="I1722">
        <v>4.57</v>
      </c>
      <c r="J1722">
        <v>1.42</v>
      </c>
      <c r="K1722">
        <v>0.71</v>
      </c>
      <c r="L1722" t="s">
        <v>572</v>
      </c>
      <c r="M1722" t="s">
        <v>3</v>
      </c>
      <c r="N1722" s="92">
        <v>9.76</v>
      </c>
    </row>
    <row r="1723" spans="3:14" x14ac:dyDescent="0.2">
      <c r="C1723" t="s">
        <v>593</v>
      </c>
      <c r="D1723" t="s">
        <v>572</v>
      </c>
      <c r="E1723" t="s">
        <v>3</v>
      </c>
      <c r="F1723" t="s">
        <v>3</v>
      </c>
      <c r="G1723" t="s">
        <v>572</v>
      </c>
      <c r="H1723" t="s">
        <v>3</v>
      </c>
      <c r="I1723" t="s">
        <v>3</v>
      </c>
      <c r="J1723" t="s">
        <v>3</v>
      </c>
      <c r="K1723" t="s">
        <v>3</v>
      </c>
      <c r="L1723" t="s">
        <v>3</v>
      </c>
      <c r="M1723" t="s">
        <v>3</v>
      </c>
      <c r="N1723" s="92" t="s">
        <v>3</v>
      </c>
    </row>
    <row r="1724" spans="3:14" x14ac:dyDescent="0.2">
      <c r="C1724" t="s">
        <v>594</v>
      </c>
      <c r="D1724">
        <v>11.67</v>
      </c>
      <c r="E1724">
        <v>4.0999999999999996</v>
      </c>
      <c r="F1724">
        <v>5.09</v>
      </c>
      <c r="G1724">
        <v>1.1299999999999999</v>
      </c>
      <c r="H1724">
        <v>1.1299999999999999</v>
      </c>
      <c r="I1724">
        <v>1.1299999999999999</v>
      </c>
      <c r="J1724">
        <v>1.1299999999999999</v>
      </c>
      <c r="K1724">
        <v>0.36</v>
      </c>
      <c r="L1724">
        <v>0</v>
      </c>
      <c r="M1724">
        <v>0</v>
      </c>
      <c r="N1724" s="92">
        <v>6.85</v>
      </c>
    </row>
    <row r="1725" spans="3:14" x14ac:dyDescent="0.2">
      <c r="C1725" t="s">
        <v>612</v>
      </c>
      <c r="D1725">
        <v>1.47</v>
      </c>
      <c r="E1725">
        <v>1.1299999999999999</v>
      </c>
      <c r="F1725">
        <v>1.1299999999999999</v>
      </c>
      <c r="G1725">
        <v>1.1299999999999999</v>
      </c>
      <c r="H1725">
        <v>1.1299999999999999</v>
      </c>
      <c r="I1725">
        <v>1.1299999999999999</v>
      </c>
      <c r="J1725">
        <v>1.1299999999999999</v>
      </c>
      <c r="K1725">
        <v>0.36</v>
      </c>
      <c r="L1725" t="s">
        <v>572</v>
      </c>
      <c r="M1725" t="s">
        <v>3</v>
      </c>
      <c r="N1725" s="92">
        <v>1.1299999999999999</v>
      </c>
    </row>
    <row r="1726" spans="3:14" x14ac:dyDescent="0.2">
      <c r="C1726" t="s">
        <v>596</v>
      </c>
      <c r="D1726">
        <v>10.199999999999999</v>
      </c>
      <c r="E1726">
        <v>2.97</v>
      </c>
      <c r="F1726">
        <v>3.96</v>
      </c>
      <c r="G1726" t="s">
        <v>572</v>
      </c>
      <c r="H1726" t="s">
        <v>3</v>
      </c>
      <c r="I1726" t="s">
        <v>3</v>
      </c>
      <c r="J1726" t="s">
        <v>3</v>
      </c>
      <c r="K1726">
        <v>0</v>
      </c>
      <c r="L1726">
        <v>0</v>
      </c>
      <c r="M1726">
        <v>0</v>
      </c>
      <c r="N1726" s="92">
        <v>5.72</v>
      </c>
    </row>
    <row r="1727" spans="3:14" x14ac:dyDescent="0.2">
      <c r="C1727" s="14" t="s">
        <v>597</v>
      </c>
      <c r="D1727" s="32">
        <f>D1721-D1724</f>
        <v>-1.5099999999999998</v>
      </c>
      <c r="E1727" s="32">
        <f t="shared" ref="E1727:M1727" si="844">E1721-E1724</f>
        <v>5.26</v>
      </c>
      <c r="F1727" s="32">
        <f t="shared" si="844"/>
        <v>4.2699999999999996</v>
      </c>
      <c r="G1727" s="32">
        <f t="shared" si="844"/>
        <v>4.33</v>
      </c>
      <c r="H1727" s="32">
        <f t="shared" si="844"/>
        <v>3.4400000000000004</v>
      </c>
      <c r="I1727" s="32">
        <f t="shared" si="844"/>
        <v>3.4400000000000004</v>
      </c>
      <c r="J1727" s="32">
        <f t="shared" si="844"/>
        <v>0.29000000000000004</v>
      </c>
      <c r="K1727" s="32">
        <f t="shared" si="844"/>
        <v>0.35</v>
      </c>
      <c r="L1727" s="32">
        <f t="shared" si="844"/>
        <v>0</v>
      </c>
      <c r="M1727" s="32">
        <f t="shared" si="844"/>
        <v>0</v>
      </c>
      <c r="N1727" s="95">
        <f>N1721-N1724</f>
        <v>2.91</v>
      </c>
    </row>
    <row r="1728" spans="3:14" x14ac:dyDescent="0.2">
      <c r="C1728" t="s">
        <v>598</v>
      </c>
      <c r="D1728" s="20">
        <f>D1720+D1727</f>
        <v>30.590000000000003</v>
      </c>
      <c r="E1728" s="20">
        <f t="shared" ref="E1728:M1728" si="845">E1720+E1727</f>
        <v>34.630000000000003</v>
      </c>
      <c r="F1728" s="20">
        <f t="shared" si="845"/>
        <v>35.65</v>
      </c>
      <c r="G1728" s="20">
        <f t="shared" si="845"/>
        <v>36.620000000000005</v>
      </c>
      <c r="H1728" s="20">
        <f t="shared" si="845"/>
        <v>37.18</v>
      </c>
      <c r="I1728" s="20">
        <f t="shared" si="845"/>
        <v>37.800000000000004</v>
      </c>
      <c r="J1728" s="20">
        <f t="shared" si="845"/>
        <v>38.550000000000004</v>
      </c>
      <c r="K1728" s="20">
        <f t="shared" si="845"/>
        <v>39.489999999999995</v>
      </c>
      <c r="L1728" s="20">
        <f t="shared" si="845"/>
        <v>40.460000000000008</v>
      </c>
      <c r="M1728" s="20">
        <f t="shared" si="845"/>
        <v>41.45</v>
      </c>
      <c r="N1728" s="94">
        <f>N1720+N1727</f>
        <v>33.32</v>
      </c>
    </row>
    <row r="1729" spans="2:14" x14ac:dyDescent="0.2">
      <c r="N1729" s="92"/>
    </row>
    <row r="1730" spans="2:14" x14ac:dyDescent="0.2">
      <c r="C1730" t="s">
        <v>599</v>
      </c>
      <c r="D1730">
        <v>32.950000000000003</v>
      </c>
      <c r="E1730">
        <v>36.770000000000003</v>
      </c>
      <c r="F1730">
        <v>38.909999999999997</v>
      </c>
      <c r="G1730">
        <v>41.87</v>
      </c>
      <c r="H1730">
        <v>42.43</v>
      </c>
      <c r="I1730">
        <v>43.05</v>
      </c>
      <c r="J1730">
        <v>43.79</v>
      </c>
      <c r="K1730">
        <v>43.96</v>
      </c>
      <c r="L1730">
        <v>44.59</v>
      </c>
      <c r="M1730">
        <v>45.57</v>
      </c>
      <c r="N1730" s="92">
        <v>35.33</v>
      </c>
    </row>
    <row r="1731" spans="2:14" x14ac:dyDescent="0.2">
      <c r="N1731" s="92"/>
    </row>
    <row r="1732" spans="2:14" x14ac:dyDescent="0.2">
      <c r="N1732" s="92"/>
    </row>
    <row r="1733" spans="2:14" s="2" customFormat="1" ht="15" x14ac:dyDescent="0.25">
      <c r="B1733" s="2" t="s">
        <v>630</v>
      </c>
      <c r="C1733" s="9"/>
      <c r="N1733" s="96"/>
    </row>
    <row r="1734" spans="2:14" s="2" customFormat="1" ht="15" x14ac:dyDescent="0.25">
      <c r="B1734" s="2" t="s">
        <v>614</v>
      </c>
      <c r="N1734" s="96"/>
    </row>
    <row r="1735" spans="2:14" s="2" customFormat="1" ht="15" x14ac:dyDescent="0.25">
      <c r="B1735" s="13" t="s">
        <v>615</v>
      </c>
      <c r="D1735" s="2">
        <v>2000</v>
      </c>
      <c r="E1735" s="2">
        <v>2010</v>
      </c>
      <c r="F1735" s="2">
        <v>2015</v>
      </c>
      <c r="G1735" s="2">
        <v>2020</v>
      </c>
      <c r="H1735" s="2">
        <v>2025</v>
      </c>
      <c r="I1735" s="2">
        <v>2030</v>
      </c>
      <c r="J1735" s="2">
        <v>2035</v>
      </c>
      <c r="K1735" s="2">
        <v>2040</v>
      </c>
      <c r="L1735" s="2">
        <v>2045</v>
      </c>
      <c r="M1735" s="2">
        <v>2050</v>
      </c>
      <c r="N1735" s="96">
        <v>2005</v>
      </c>
    </row>
    <row r="1736" spans="2:14" x14ac:dyDescent="0.2">
      <c r="C1736" t="s">
        <v>568</v>
      </c>
      <c r="D1736">
        <v>20.67</v>
      </c>
      <c r="E1736">
        <v>21.26</v>
      </c>
      <c r="F1736">
        <v>21.92</v>
      </c>
      <c r="G1736">
        <v>22.98</v>
      </c>
      <c r="H1736">
        <v>23.05</v>
      </c>
      <c r="I1736">
        <v>23.08</v>
      </c>
      <c r="J1736">
        <v>23.13</v>
      </c>
      <c r="K1736">
        <v>23.22</v>
      </c>
      <c r="L1736">
        <v>23.28</v>
      </c>
      <c r="M1736">
        <v>23.29</v>
      </c>
      <c r="N1736" s="92">
        <v>18.78</v>
      </c>
    </row>
    <row r="1737" spans="2:14" x14ac:dyDescent="0.2">
      <c r="C1737" t="s">
        <v>633</v>
      </c>
      <c r="D1737">
        <v>20.67</v>
      </c>
      <c r="E1737">
        <v>21.26</v>
      </c>
      <c r="F1737">
        <v>21</v>
      </c>
      <c r="G1737">
        <v>20.78</v>
      </c>
      <c r="H1737">
        <v>20.58</v>
      </c>
      <c r="I1737">
        <v>20.37</v>
      </c>
      <c r="J1737">
        <v>20.07</v>
      </c>
      <c r="K1737">
        <v>19.82</v>
      </c>
      <c r="L1737">
        <v>19.32</v>
      </c>
      <c r="M1737">
        <v>18.95</v>
      </c>
      <c r="N1737" s="92">
        <v>18.78</v>
      </c>
    </row>
    <row r="1738" spans="2:14" x14ac:dyDescent="0.2">
      <c r="C1738" t="s">
        <v>603</v>
      </c>
      <c r="D1738" t="s">
        <v>572</v>
      </c>
      <c r="E1738" t="s">
        <v>572</v>
      </c>
      <c r="F1738">
        <v>0.91</v>
      </c>
      <c r="G1738">
        <v>2.19</v>
      </c>
      <c r="H1738">
        <v>2.4700000000000002</v>
      </c>
      <c r="I1738">
        <v>2.71</v>
      </c>
      <c r="J1738">
        <v>3.06</v>
      </c>
      <c r="K1738">
        <v>3.4</v>
      </c>
      <c r="L1738">
        <v>3.97</v>
      </c>
      <c r="M1738">
        <v>4.34</v>
      </c>
      <c r="N1738" s="92" t="s">
        <v>572</v>
      </c>
    </row>
    <row r="1739" spans="2:14" x14ac:dyDescent="0.2">
      <c r="C1739" t="s">
        <v>571</v>
      </c>
      <c r="D1739">
        <v>11.01</v>
      </c>
      <c r="E1739">
        <v>10.96</v>
      </c>
      <c r="F1739">
        <v>11.08</v>
      </c>
      <c r="G1739">
        <v>9.77</v>
      </c>
      <c r="H1739">
        <v>7.21</v>
      </c>
      <c r="I1739">
        <v>3.97</v>
      </c>
      <c r="J1739">
        <v>0</v>
      </c>
      <c r="K1739">
        <v>0</v>
      </c>
      <c r="L1739">
        <v>0</v>
      </c>
      <c r="M1739">
        <v>0</v>
      </c>
      <c r="N1739" s="92">
        <v>7.97</v>
      </c>
    </row>
    <row r="1740" spans="2:14" x14ac:dyDescent="0.2">
      <c r="C1740" t="s">
        <v>604</v>
      </c>
      <c r="D1740">
        <v>0.67</v>
      </c>
      <c r="E1740">
        <v>0.88</v>
      </c>
      <c r="F1740">
        <v>1.07</v>
      </c>
      <c r="G1740">
        <v>1.23</v>
      </c>
      <c r="H1740">
        <v>1.3</v>
      </c>
      <c r="I1740">
        <v>1.38</v>
      </c>
      <c r="J1740">
        <v>5.35</v>
      </c>
      <c r="K1740">
        <v>3.09</v>
      </c>
      <c r="L1740">
        <v>1.31</v>
      </c>
      <c r="M1740">
        <v>1.31</v>
      </c>
      <c r="N1740" s="92">
        <v>0.82</v>
      </c>
    </row>
    <row r="1741" spans="2:14" x14ac:dyDescent="0.2">
      <c r="C1741" t="s">
        <v>605</v>
      </c>
      <c r="D1741">
        <v>0.67</v>
      </c>
      <c r="E1741">
        <v>0.88</v>
      </c>
      <c r="F1741">
        <v>0.71</v>
      </c>
      <c r="G1741">
        <v>0.62</v>
      </c>
      <c r="H1741">
        <v>0.38</v>
      </c>
      <c r="I1741">
        <v>0.24</v>
      </c>
      <c r="J1741">
        <v>0.14000000000000001</v>
      </c>
      <c r="K1741" t="s">
        <v>572</v>
      </c>
      <c r="L1741" t="s">
        <v>3</v>
      </c>
      <c r="M1741" t="s">
        <v>3</v>
      </c>
      <c r="N1741" s="92">
        <v>0.82</v>
      </c>
    </row>
    <row r="1742" spans="2:14" x14ac:dyDescent="0.2">
      <c r="C1742" t="s">
        <v>606</v>
      </c>
      <c r="D1742" t="s">
        <v>3</v>
      </c>
      <c r="E1742" t="s">
        <v>3</v>
      </c>
      <c r="F1742" t="s">
        <v>3</v>
      </c>
      <c r="G1742" t="s">
        <v>3</v>
      </c>
      <c r="H1742" t="s">
        <v>3</v>
      </c>
      <c r="I1742" t="s">
        <v>3</v>
      </c>
      <c r="J1742">
        <v>3.98</v>
      </c>
      <c r="K1742">
        <v>1.78</v>
      </c>
      <c r="L1742" t="s">
        <v>572</v>
      </c>
      <c r="M1742" t="s">
        <v>3</v>
      </c>
      <c r="N1742" s="92" t="s">
        <v>3</v>
      </c>
    </row>
    <row r="1743" spans="2:14" x14ac:dyDescent="0.2">
      <c r="C1743" t="s">
        <v>607</v>
      </c>
      <c r="D1743" t="s">
        <v>3</v>
      </c>
      <c r="E1743" t="s">
        <v>3</v>
      </c>
      <c r="F1743">
        <v>0.36</v>
      </c>
      <c r="G1743">
        <v>0.61</v>
      </c>
      <c r="H1743">
        <v>0.92</v>
      </c>
      <c r="I1743">
        <v>1.1499999999999999</v>
      </c>
      <c r="J1743">
        <v>1.23</v>
      </c>
      <c r="K1743">
        <v>1.31</v>
      </c>
      <c r="L1743">
        <v>1.31</v>
      </c>
      <c r="M1743">
        <v>1.31</v>
      </c>
      <c r="N1743" s="92" t="s">
        <v>3</v>
      </c>
    </row>
    <row r="1744" spans="2:14" x14ac:dyDescent="0.2">
      <c r="C1744" t="s">
        <v>608</v>
      </c>
      <c r="D1744">
        <v>0.36</v>
      </c>
      <c r="E1744">
        <v>0.62</v>
      </c>
      <c r="F1744">
        <v>1.07</v>
      </c>
      <c r="G1744">
        <v>1.66</v>
      </c>
      <c r="H1744">
        <v>2.6</v>
      </c>
      <c r="I1744">
        <v>3.96</v>
      </c>
      <c r="J1744">
        <v>6.34</v>
      </c>
      <c r="K1744">
        <v>8.8800000000000008</v>
      </c>
      <c r="L1744">
        <v>11.58</v>
      </c>
      <c r="M1744">
        <v>13.75</v>
      </c>
      <c r="N1744" s="92">
        <v>0.45</v>
      </c>
    </row>
    <row r="1745" spans="3:14" x14ac:dyDescent="0.2">
      <c r="C1745" t="s">
        <v>609</v>
      </c>
      <c r="D1745">
        <v>0.36</v>
      </c>
      <c r="E1745">
        <v>0.62</v>
      </c>
      <c r="F1745">
        <v>0.47</v>
      </c>
      <c r="G1745">
        <v>0.42</v>
      </c>
      <c r="H1745">
        <v>0.32</v>
      </c>
      <c r="I1745">
        <v>0.19</v>
      </c>
      <c r="J1745">
        <v>0.04</v>
      </c>
      <c r="K1745">
        <v>0</v>
      </c>
      <c r="L1745" t="s">
        <v>3</v>
      </c>
      <c r="M1745" t="s">
        <v>3</v>
      </c>
      <c r="N1745" s="92">
        <v>0.45</v>
      </c>
    </row>
    <row r="1746" spans="3:14" x14ac:dyDescent="0.2">
      <c r="C1746" t="s">
        <v>610</v>
      </c>
      <c r="D1746" t="s">
        <v>572</v>
      </c>
      <c r="E1746" t="s">
        <v>3</v>
      </c>
      <c r="F1746">
        <v>0.6</v>
      </c>
      <c r="G1746">
        <v>1.25</v>
      </c>
      <c r="H1746">
        <v>2.2799999999999998</v>
      </c>
      <c r="I1746">
        <v>3.77</v>
      </c>
      <c r="J1746">
        <v>6.3</v>
      </c>
      <c r="K1746">
        <v>8.8800000000000008</v>
      </c>
      <c r="L1746">
        <v>11.58</v>
      </c>
      <c r="M1746">
        <v>13.75</v>
      </c>
      <c r="N1746" s="92" t="s">
        <v>3</v>
      </c>
    </row>
    <row r="1747" spans="3:14" x14ac:dyDescent="0.2">
      <c r="C1747" t="s">
        <v>580</v>
      </c>
      <c r="D1747">
        <v>0.01</v>
      </c>
      <c r="E1747">
        <v>0.06</v>
      </c>
      <c r="F1747">
        <v>0.21</v>
      </c>
      <c r="G1747">
        <v>0.38</v>
      </c>
      <c r="H1747">
        <v>0.71</v>
      </c>
      <c r="I1747">
        <v>1.39</v>
      </c>
      <c r="J1747">
        <v>3.24</v>
      </c>
      <c r="K1747">
        <v>4.92</v>
      </c>
      <c r="L1747">
        <v>6.74</v>
      </c>
      <c r="M1747">
        <v>8.1199999999999992</v>
      </c>
      <c r="N1747" s="92">
        <v>0.01</v>
      </c>
    </row>
    <row r="1748" spans="3:14" x14ac:dyDescent="0.2">
      <c r="C1748" t="s">
        <v>581</v>
      </c>
      <c r="D1748">
        <v>0</v>
      </c>
      <c r="E1748">
        <v>0.01</v>
      </c>
      <c r="F1748">
        <v>0.14000000000000001</v>
      </c>
      <c r="G1748">
        <v>0.26</v>
      </c>
      <c r="H1748">
        <v>0.39</v>
      </c>
      <c r="I1748">
        <v>0.57999999999999996</v>
      </c>
      <c r="J1748">
        <v>0.7</v>
      </c>
      <c r="K1748">
        <v>1.04</v>
      </c>
      <c r="L1748">
        <v>1.37</v>
      </c>
      <c r="M1748">
        <v>1.7</v>
      </c>
      <c r="N1748" s="92">
        <v>0</v>
      </c>
    </row>
    <row r="1749" spans="3:14" x14ac:dyDescent="0.2">
      <c r="C1749" t="s">
        <v>582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 s="92">
        <v>0</v>
      </c>
    </row>
    <row r="1750" spans="3:14" x14ac:dyDescent="0.2">
      <c r="C1750" t="s">
        <v>47</v>
      </c>
      <c r="D1750" t="s">
        <v>3</v>
      </c>
      <c r="E1750" t="s">
        <v>3</v>
      </c>
      <c r="F1750">
        <v>0.05</v>
      </c>
      <c r="G1750">
        <v>0.1</v>
      </c>
      <c r="H1750">
        <v>0.2</v>
      </c>
      <c r="I1750">
        <v>0.39</v>
      </c>
      <c r="J1750">
        <v>0.72</v>
      </c>
      <c r="K1750">
        <v>1.2</v>
      </c>
      <c r="L1750">
        <v>1.74</v>
      </c>
      <c r="M1750">
        <v>2.19</v>
      </c>
      <c r="N1750" s="92" t="s">
        <v>3</v>
      </c>
    </row>
    <row r="1751" spans="3:14" x14ac:dyDescent="0.2">
      <c r="C1751" t="s">
        <v>583</v>
      </c>
      <c r="D1751">
        <v>0.01</v>
      </c>
      <c r="E1751">
        <v>0.04</v>
      </c>
      <c r="F1751">
        <v>0.1</v>
      </c>
      <c r="G1751">
        <v>0.19</v>
      </c>
      <c r="H1751">
        <v>0.31</v>
      </c>
      <c r="I1751">
        <v>0.39</v>
      </c>
      <c r="J1751">
        <v>0.4</v>
      </c>
      <c r="K1751">
        <v>0.4</v>
      </c>
      <c r="L1751">
        <v>0.4</v>
      </c>
      <c r="M1751">
        <v>0.41</v>
      </c>
      <c r="N1751" s="92">
        <v>0.01</v>
      </c>
    </row>
    <row r="1752" spans="3:14" x14ac:dyDescent="0.2">
      <c r="C1752" t="s">
        <v>584</v>
      </c>
      <c r="D1752">
        <v>0</v>
      </c>
      <c r="E1752">
        <v>0.03</v>
      </c>
      <c r="F1752">
        <v>0.08</v>
      </c>
      <c r="G1752">
        <v>0.18</v>
      </c>
      <c r="H1752">
        <v>0.34</v>
      </c>
      <c r="I1752">
        <v>0.5</v>
      </c>
      <c r="J1752">
        <v>0.56999999999999995</v>
      </c>
      <c r="K1752">
        <v>0.6</v>
      </c>
      <c r="L1752">
        <v>0.61</v>
      </c>
      <c r="M1752">
        <v>0.61</v>
      </c>
      <c r="N1752" s="92">
        <v>0.01</v>
      </c>
    </row>
    <row r="1753" spans="3:14" x14ac:dyDescent="0.2">
      <c r="C1753" t="s">
        <v>585</v>
      </c>
      <c r="D1753">
        <v>0.04</v>
      </c>
      <c r="E1753">
        <v>0.05</v>
      </c>
      <c r="F1753">
        <v>0.04</v>
      </c>
      <c r="G1753">
        <v>7.0000000000000007E-2</v>
      </c>
      <c r="H1753">
        <v>0.09</v>
      </c>
      <c r="I1753">
        <v>0.11</v>
      </c>
      <c r="J1753">
        <v>0.12</v>
      </c>
      <c r="K1753">
        <v>0.12</v>
      </c>
      <c r="L1753">
        <v>0.12</v>
      </c>
      <c r="M1753">
        <v>0.12</v>
      </c>
      <c r="N1753" s="92">
        <v>0.04</v>
      </c>
    </row>
    <row r="1754" spans="3:14" x14ac:dyDescent="0.2">
      <c r="C1754" t="s">
        <v>586</v>
      </c>
      <c r="D1754">
        <v>0.28999999999999998</v>
      </c>
      <c r="E1754">
        <v>0.41</v>
      </c>
      <c r="F1754">
        <v>0.45</v>
      </c>
      <c r="G1754">
        <v>0.49</v>
      </c>
      <c r="H1754">
        <v>0.56000000000000005</v>
      </c>
      <c r="I1754">
        <v>0.59</v>
      </c>
      <c r="J1754">
        <v>0.6</v>
      </c>
      <c r="K1754">
        <v>0.6</v>
      </c>
      <c r="L1754">
        <v>0.6</v>
      </c>
      <c r="M1754">
        <v>0.6</v>
      </c>
      <c r="N1754" s="92">
        <v>0.36</v>
      </c>
    </row>
    <row r="1755" spans="3:14" x14ac:dyDescent="0.2">
      <c r="C1755" t="s">
        <v>587</v>
      </c>
      <c r="D1755">
        <v>0.02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 s="92">
        <v>0.01</v>
      </c>
    </row>
    <row r="1756" spans="3:14" x14ac:dyDescent="0.2">
      <c r="C1756" t="s">
        <v>588</v>
      </c>
      <c r="D1756" s="20">
        <f t="shared" ref="D1756:I1756" si="846">D1736+D1739+D1740+D1744</f>
        <v>32.71</v>
      </c>
      <c r="E1756" s="20">
        <f t="shared" si="846"/>
        <v>33.72</v>
      </c>
      <c r="F1756" s="20">
        <f t="shared" si="846"/>
        <v>35.14</v>
      </c>
      <c r="G1756" s="20">
        <f t="shared" si="846"/>
        <v>35.639999999999993</v>
      </c>
      <c r="H1756" s="20">
        <f t="shared" si="846"/>
        <v>34.160000000000004</v>
      </c>
      <c r="I1756" s="20">
        <f t="shared" si="846"/>
        <v>32.389999999999993</v>
      </c>
      <c r="J1756" s="20">
        <f>J1736+J1740+J1744</f>
        <v>34.819999999999993</v>
      </c>
      <c r="K1756" s="20">
        <f>K1736+K1740+K1744</f>
        <v>35.19</v>
      </c>
      <c r="L1756" s="20">
        <f>L1736+L1740+L1744</f>
        <v>36.17</v>
      </c>
      <c r="M1756" s="20">
        <f>M1736+M1740+M1744</f>
        <v>38.349999999999994</v>
      </c>
      <c r="N1756" s="94">
        <f>N1736+N1739+N1740+N1744</f>
        <v>28.02</v>
      </c>
    </row>
    <row r="1757" spans="3:14" x14ac:dyDescent="0.2">
      <c r="C1757" t="s">
        <v>589</v>
      </c>
      <c r="D1757">
        <v>-1.33</v>
      </c>
      <c r="E1757">
        <v>-1.53</v>
      </c>
      <c r="F1757">
        <v>-2.21</v>
      </c>
      <c r="G1757">
        <v>-3.42</v>
      </c>
      <c r="H1757">
        <v>-3.42</v>
      </c>
      <c r="I1757">
        <v>-3.42</v>
      </c>
      <c r="J1757">
        <v>-3.42</v>
      </c>
      <c r="K1757">
        <v>-3.42</v>
      </c>
      <c r="L1757">
        <v>-3.42</v>
      </c>
      <c r="M1757">
        <v>-3.42</v>
      </c>
      <c r="N1757" s="92">
        <v>-1.33</v>
      </c>
    </row>
    <row r="1758" spans="3:14" x14ac:dyDescent="0.2">
      <c r="C1758" s="14" t="s">
        <v>590</v>
      </c>
      <c r="D1758" s="32">
        <f>D1756+D1757</f>
        <v>31.380000000000003</v>
      </c>
      <c r="E1758" s="32">
        <f t="shared" ref="E1758:M1758" si="847">E1756+E1757</f>
        <v>32.19</v>
      </c>
      <c r="F1758" s="32">
        <f t="shared" si="847"/>
        <v>32.93</v>
      </c>
      <c r="G1758" s="32">
        <f t="shared" si="847"/>
        <v>32.219999999999992</v>
      </c>
      <c r="H1758" s="32">
        <f t="shared" si="847"/>
        <v>30.740000000000002</v>
      </c>
      <c r="I1758" s="32">
        <f t="shared" si="847"/>
        <v>28.969999999999992</v>
      </c>
      <c r="J1758" s="32">
        <f t="shared" si="847"/>
        <v>31.399999999999991</v>
      </c>
      <c r="K1758" s="32">
        <f t="shared" si="847"/>
        <v>31.769999999999996</v>
      </c>
      <c r="L1758" s="32">
        <f t="shared" si="847"/>
        <v>32.75</v>
      </c>
      <c r="M1758" s="32">
        <f t="shared" si="847"/>
        <v>34.929999999999993</v>
      </c>
      <c r="N1758" s="95">
        <f>N1756+N1757</f>
        <v>26.689999999999998</v>
      </c>
    </row>
    <row r="1759" spans="3:14" x14ac:dyDescent="0.2">
      <c r="C1759" t="s">
        <v>591</v>
      </c>
      <c r="D1759">
        <v>8.56</v>
      </c>
      <c r="E1759">
        <v>7.88</v>
      </c>
      <c r="F1759">
        <v>7.88</v>
      </c>
      <c r="G1759">
        <v>4.5999999999999996</v>
      </c>
      <c r="H1759">
        <v>3.85</v>
      </c>
      <c r="I1759">
        <v>3.85</v>
      </c>
      <c r="J1759">
        <v>1.19</v>
      </c>
      <c r="K1759">
        <v>0.6</v>
      </c>
      <c r="N1759" s="92">
        <v>8.2200000000000006</v>
      </c>
    </row>
    <row r="1760" spans="3:14" x14ac:dyDescent="0.2">
      <c r="C1760" t="s">
        <v>592</v>
      </c>
      <c r="D1760">
        <v>8.56</v>
      </c>
      <c r="E1760">
        <v>7.88</v>
      </c>
      <c r="F1760">
        <v>7.88</v>
      </c>
      <c r="G1760">
        <v>4.5999999999999996</v>
      </c>
      <c r="H1760">
        <v>3.85</v>
      </c>
      <c r="I1760">
        <v>3.85</v>
      </c>
      <c r="J1760">
        <v>1.19</v>
      </c>
      <c r="K1760">
        <v>0.6</v>
      </c>
      <c r="L1760" t="s">
        <v>572</v>
      </c>
      <c r="M1760" t="s">
        <v>3</v>
      </c>
      <c r="N1760" s="92">
        <v>8.2200000000000006</v>
      </c>
    </row>
    <row r="1761" spans="2:14" x14ac:dyDescent="0.2">
      <c r="C1761" t="s">
        <v>593</v>
      </c>
      <c r="D1761" t="s">
        <v>3</v>
      </c>
      <c r="E1761" t="s">
        <v>572</v>
      </c>
      <c r="F1761" t="s">
        <v>3</v>
      </c>
      <c r="G1761" t="s">
        <v>3</v>
      </c>
      <c r="H1761" t="s">
        <v>3</v>
      </c>
      <c r="I1761" t="s">
        <v>3</v>
      </c>
      <c r="J1761" t="s">
        <v>3</v>
      </c>
      <c r="K1761" t="s">
        <v>3</v>
      </c>
      <c r="L1761" t="s">
        <v>3</v>
      </c>
      <c r="M1761" t="s">
        <v>3</v>
      </c>
      <c r="N1761" s="92" t="s">
        <v>572</v>
      </c>
    </row>
    <row r="1762" spans="2:14" x14ac:dyDescent="0.2">
      <c r="C1762" t="s">
        <v>594</v>
      </c>
      <c r="D1762">
        <v>14.39</v>
      </c>
      <c r="E1762">
        <v>11.09</v>
      </c>
      <c r="F1762">
        <v>11.12</v>
      </c>
      <c r="G1762">
        <v>6.48</v>
      </c>
      <c r="H1762">
        <v>3.93</v>
      </c>
      <c r="I1762">
        <v>1.81</v>
      </c>
      <c r="J1762">
        <v>1.1399999999999999</v>
      </c>
      <c r="K1762">
        <v>0.3</v>
      </c>
      <c r="L1762">
        <v>0.05</v>
      </c>
      <c r="M1762">
        <v>1.59</v>
      </c>
      <c r="N1762" s="92">
        <v>6.9</v>
      </c>
    </row>
    <row r="1763" spans="2:14" x14ac:dyDescent="0.2">
      <c r="C1763" t="s">
        <v>612</v>
      </c>
      <c r="D1763">
        <v>1.35</v>
      </c>
      <c r="E1763">
        <v>1.1399999999999999</v>
      </c>
      <c r="F1763">
        <v>1.1399999999999999</v>
      </c>
      <c r="G1763">
        <v>1.1399999999999999</v>
      </c>
      <c r="H1763">
        <v>1.1399999999999999</v>
      </c>
      <c r="I1763">
        <v>1.1399999999999999</v>
      </c>
      <c r="J1763">
        <v>1.1399999999999999</v>
      </c>
      <c r="K1763">
        <v>0.3</v>
      </c>
      <c r="L1763" t="s">
        <v>572</v>
      </c>
      <c r="M1763" t="s">
        <v>3</v>
      </c>
      <c r="N1763" s="92">
        <v>1.1399999999999999</v>
      </c>
    </row>
    <row r="1764" spans="2:14" x14ac:dyDescent="0.2">
      <c r="C1764" t="s">
        <v>596</v>
      </c>
      <c r="D1764">
        <v>13.04</v>
      </c>
      <c r="E1764">
        <v>9.9600000000000009</v>
      </c>
      <c r="F1764">
        <v>9.99</v>
      </c>
      <c r="G1764">
        <v>5.34</v>
      </c>
      <c r="H1764">
        <v>2.8</v>
      </c>
      <c r="I1764">
        <v>0.68</v>
      </c>
      <c r="J1764" t="s">
        <v>572</v>
      </c>
      <c r="K1764" t="s">
        <v>3</v>
      </c>
      <c r="L1764">
        <v>0.05</v>
      </c>
      <c r="M1764">
        <v>1.59</v>
      </c>
      <c r="N1764" s="92">
        <v>5.76</v>
      </c>
    </row>
    <row r="1765" spans="2:14" x14ac:dyDescent="0.2">
      <c r="C1765" s="14" t="s">
        <v>597</v>
      </c>
      <c r="D1765" s="32">
        <f>D1759-D1762</f>
        <v>-5.83</v>
      </c>
      <c r="E1765" s="32">
        <f t="shared" ref="E1765:M1765" si="848">E1759-E1762</f>
        <v>-3.21</v>
      </c>
      <c r="F1765" s="32">
        <f t="shared" si="848"/>
        <v>-3.2399999999999993</v>
      </c>
      <c r="G1765" s="32">
        <f t="shared" si="848"/>
        <v>-1.8800000000000008</v>
      </c>
      <c r="H1765" s="32">
        <f t="shared" si="848"/>
        <v>-8.0000000000000071E-2</v>
      </c>
      <c r="I1765" s="32">
        <f t="shared" si="848"/>
        <v>2.04</v>
      </c>
      <c r="J1765" s="32">
        <f t="shared" si="848"/>
        <v>5.0000000000000044E-2</v>
      </c>
      <c r="K1765" s="32">
        <f t="shared" si="848"/>
        <v>0.3</v>
      </c>
      <c r="L1765" s="32">
        <f t="shared" si="848"/>
        <v>-0.05</v>
      </c>
      <c r="M1765" s="32">
        <f t="shared" si="848"/>
        <v>-1.59</v>
      </c>
      <c r="N1765" s="95">
        <f>N1759-N1762</f>
        <v>1.3200000000000003</v>
      </c>
    </row>
    <row r="1766" spans="2:14" x14ac:dyDescent="0.2">
      <c r="C1766" t="s">
        <v>598</v>
      </c>
      <c r="D1766" s="20">
        <f>D1758+D1765</f>
        <v>25.550000000000004</v>
      </c>
      <c r="E1766" s="20">
        <f t="shared" ref="E1766:M1766" si="849">E1758+E1765</f>
        <v>28.979999999999997</v>
      </c>
      <c r="F1766" s="20">
        <f t="shared" si="849"/>
        <v>29.69</v>
      </c>
      <c r="G1766" s="20">
        <f t="shared" si="849"/>
        <v>30.339999999999989</v>
      </c>
      <c r="H1766" s="20">
        <f t="shared" si="849"/>
        <v>30.660000000000004</v>
      </c>
      <c r="I1766" s="20">
        <f t="shared" si="849"/>
        <v>31.009999999999991</v>
      </c>
      <c r="J1766" s="20">
        <f t="shared" si="849"/>
        <v>31.449999999999992</v>
      </c>
      <c r="K1766" s="20">
        <f t="shared" si="849"/>
        <v>32.069999999999993</v>
      </c>
      <c r="L1766" s="20">
        <f t="shared" si="849"/>
        <v>32.700000000000003</v>
      </c>
      <c r="M1766" s="20">
        <f t="shared" si="849"/>
        <v>33.339999999999989</v>
      </c>
      <c r="N1766" s="94">
        <f>N1758+N1765</f>
        <v>28.009999999999998</v>
      </c>
    </row>
    <row r="1767" spans="2:14" x14ac:dyDescent="0.2">
      <c r="N1767" s="92"/>
    </row>
    <row r="1768" spans="2:14" x14ac:dyDescent="0.2">
      <c r="C1768" t="s">
        <v>599</v>
      </c>
      <c r="D1768">
        <v>28.23</v>
      </c>
      <c r="E1768">
        <v>31.64</v>
      </c>
      <c r="F1768">
        <v>33.020000000000003</v>
      </c>
      <c r="G1768">
        <v>34.9</v>
      </c>
      <c r="H1768">
        <v>35.21</v>
      </c>
      <c r="I1768">
        <v>35.57</v>
      </c>
      <c r="J1768">
        <v>36.020000000000003</v>
      </c>
      <c r="K1768">
        <v>35.79</v>
      </c>
      <c r="L1768">
        <v>36.130000000000003</v>
      </c>
      <c r="M1768">
        <v>36.76</v>
      </c>
      <c r="N1768" s="92">
        <v>30.48</v>
      </c>
    </row>
    <row r="1769" spans="2:14" x14ac:dyDescent="0.2">
      <c r="N1769" s="92"/>
    </row>
    <row r="1770" spans="2:14" x14ac:dyDescent="0.2">
      <c r="N1770" s="92"/>
    </row>
    <row r="1771" spans="2:14" s="2" customFormat="1" ht="15" x14ac:dyDescent="0.25">
      <c r="B1771" s="2" t="s">
        <v>638</v>
      </c>
      <c r="C1771" s="9"/>
      <c r="N1771" s="96"/>
    </row>
    <row r="1772" spans="2:14" s="2" customFormat="1" ht="15" x14ac:dyDescent="0.25">
      <c r="B1772" s="2" t="s">
        <v>631</v>
      </c>
      <c r="N1772" s="96"/>
    </row>
    <row r="1773" spans="2:14" s="2" customFormat="1" ht="15" x14ac:dyDescent="0.25">
      <c r="B1773" s="13" t="s">
        <v>567</v>
      </c>
      <c r="D1773" s="2">
        <v>2000</v>
      </c>
      <c r="E1773" s="2">
        <v>2010</v>
      </c>
      <c r="F1773" s="2">
        <v>2015</v>
      </c>
      <c r="G1773" s="2">
        <v>2020</v>
      </c>
      <c r="H1773" s="2">
        <v>2025</v>
      </c>
      <c r="I1773" s="2">
        <v>2030</v>
      </c>
      <c r="J1773" s="2">
        <v>2035</v>
      </c>
      <c r="K1773" s="2">
        <v>2040</v>
      </c>
      <c r="L1773" s="2">
        <v>2045</v>
      </c>
      <c r="M1773" s="2">
        <v>2050</v>
      </c>
      <c r="N1773" s="96">
        <v>2005</v>
      </c>
    </row>
    <row r="1774" spans="2:14" x14ac:dyDescent="0.2">
      <c r="C1774" t="s">
        <v>568</v>
      </c>
      <c r="D1774">
        <v>38.380000000000003</v>
      </c>
      <c r="E1774">
        <v>35.42</v>
      </c>
      <c r="F1774">
        <v>38.76</v>
      </c>
      <c r="G1774">
        <v>41.48</v>
      </c>
      <c r="H1774">
        <v>41.65</v>
      </c>
      <c r="I1774">
        <v>41.77</v>
      </c>
      <c r="J1774">
        <v>41.75</v>
      </c>
      <c r="K1774">
        <v>41.86</v>
      </c>
      <c r="L1774">
        <v>41.6</v>
      </c>
      <c r="M1774">
        <v>41.58</v>
      </c>
      <c r="N1774" s="92">
        <v>34.340000000000003</v>
      </c>
    </row>
    <row r="1775" spans="2:14" x14ac:dyDescent="0.2">
      <c r="C1775" t="s">
        <v>602</v>
      </c>
      <c r="D1775">
        <v>38.380000000000003</v>
      </c>
      <c r="E1775">
        <v>35.42</v>
      </c>
      <c r="F1775">
        <v>36.950000000000003</v>
      </c>
      <c r="G1775">
        <v>36.869999999999997</v>
      </c>
      <c r="H1775">
        <v>36.83</v>
      </c>
      <c r="I1775">
        <v>36.75</v>
      </c>
      <c r="J1775">
        <v>36.54</v>
      </c>
      <c r="K1775">
        <v>36.409999999999997</v>
      </c>
      <c r="L1775">
        <v>35.85</v>
      </c>
      <c r="M1775">
        <v>35.57</v>
      </c>
      <c r="N1775" s="92">
        <v>34.340000000000003</v>
      </c>
    </row>
    <row r="1776" spans="2:14" x14ac:dyDescent="0.2">
      <c r="C1776" t="s">
        <v>603</v>
      </c>
      <c r="D1776" t="s">
        <v>3</v>
      </c>
      <c r="E1776" t="s">
        <v>3</v>
      </c>
      <c r="F1776">
        <v>1.81</v>
      </c>
      <c r="G1776">
        <v>4.6100000000000003</v>
      </c>
      <c r="H1776">
        <v>4.82</v>
      </c>
      <c r="I1776">
        <v>5.01</v>
      </c>
      <c r="J1776">
        <v>5.21</v>
      </c>
      <c r="K1776">
        <v>5.45</v>
      </c>
      <c r="L1776">
        <v>5.75</v>
      </c>
      <c r="M1776">
        <v>6.01</v>
      </c>
      <c r="N1776" s="92" t="s">
        <v>3</v>
      </c>
    </row>
    <row r="1777" spans="3:14" x14ac:dyDescent="0.2">
      <c r="C1777" t="s">
        <v>571</v>
      </c>
      <c r="D1777">
        <v>24.73</v>
      </c>
      <c r="E1777">
        <v>25.13</v>
      </c>
      <c r="F1777">
        <v>24.58</v>
      </c>
      <c r="G1777">
        <v>21.68</v>
      </c>
      <c r="H1777">
        <v>15.98</v>
      </c>
      <c r="I1777">
        <v>8.81</v>
      </c>
      <c r="J1777">
        <v>0</v>
      </c>
      <c r="K1777">
        <v>0</v>
      </c>
      <c r="L1777">
        <v>0</v>
      </c>
      <c r="M1777">
        <v>0</v>
      </c>
      <c r="N1777" s="92">
        <v>21.9</v>
      </c>
    </row>
    <row r="1778" spans="3:14" x14ac:dyDescent="0.2">
      <c r="C1778" t="s">
        <v>604</v>
      </c>
      <c r="D1778">
        <v>1.79</v>
      </c>
      <c r="E1778">
        <v>2.1800000000000002</v>
      </c>
      <c r="F1778">
        <v>2.65</v>
      </c>
      <c r="G1778">
        <v>3.83</v>
      </c>
      <c r="H1778">
        <v>6.39</v>
      </c>
      <c r="I1778">
        <v>8.94</v>
      </c>
      <c r="J1778">
        <v>19.22</v>
      </c>
      <c r="K1778">
        <v>16.89</v>
      </c>
      <c r="L1778">
        <v>15.49</v>
      </c>
      <c r="M1778">
        <v>13.27</v>
      </c>
      <c r="N1778" s="92">
        <v>2.0699999999999998</v>
      </c>
    </row>
    <row r="1779" spans="3:14" x14ac:dyDescent="0.2">
      <c r="C1779" t="s">
        <v>605</v>
      </c>
      <c r="D1779">
        <v>1.79</v>
      </c>
      <c r="E1779">
        <v>2.1800000000000002</v>
      </c>
      <c r="F1779">
        <v>1.76</v>
      </c>
      <c r="G1779">
        <v>1.48</v>
      </c>
      <c r="H1779">
        <v>0.92</v>
      </c>
      <c r="I1779">
        <v>0.57999999999999996</v>
      </c>
      <c r="J1779">
        <v>0.32</v>
      </c>
      <c r="K1779" t="s">
        <v>572</v>
      </c>
      <c r="L1779" t="s">
        <v>3</v>
      </c>
      <c r="M1779" t="s">
        <v>3</v>
      </c>
      <c r="N1779" s="92">
        <v>2.0699999999999998</v>
      </c>
    </row>
    <row r="1780" spans="3:14" x14ac:dyDescent="0.2">
      <c r="C1780" t="s">
        <v>606</v>
      </c>
      <c r="D1780" t="s">
        <v>572</v>
      </c>
      <c r="E1780" t="s">
        <v>3</v>
      </c>
      <c r="F1780" t="s">
        <v>3</v>
      </c>
      <c r="G1780">
        <v>0.86</v>
      </c>
      <c r="H1780">
        <v>3.26</v>
      </c>
      <c r="I1780">
        <v>5.66</v>
      </c>
      <c r="J1780">
        <v>15.98</v>
      </c>
      <c r="K1780">
        <v>13.79</v>
      </c>
      <c r="L1780">
        <v>12.38</v>
      </c>
      <c r="M1780">
        <v>10.16</v>
      </c>
      <c r="N1780" s="92" t="s">
        <v>572</v>
      </c>
    </row>
    <row r="1781" spans="3:14" x14ac:dyDescent="0.2">
      <c r="C1781" t="s">
        <v>607</v>
      </c>
      <c r="D1781" t="s">
        <v>3</v>
      </c>
      <c r="E1781" t="s">
        <v>3</v>
      </c>
      <c r="F1781">
        <v>0.89</v>
      </c>
      <c r="G1781">
        <v>1.49</v>
      </c>
      <c r="H1781">
        <v>2.2000000000000002</v>
      </c>
      <c r="I1781">
        <v>2.7</v>
      </c>
      <c r="J1781">
        <v>2.92</v>
      </c>
      <c r="K1781">
        <v>3.1</v>
      </c>
      <c r="L1781">
        <v>3.11</v>
      </c>
      <c r="M1781">
        <v>3.11</v>
      </c>
      <c r="N1781" s="92" t="s">
        <v>3</v>
      </c>
    </row>
    <row r="1782" spans="3:14" x14ac:dyDescent="0.2">
      <c r="C1782" t="s">
        <v>608</v>
      </c>
      <c r="D1782">
        <v>0.81</v>
      </c>
      <c r="E1782">
        <v>1.38</v>
      </c>
      <c r="F1782">
        <v>1.83</v>
      </c>
      <c r="G1782">
        <v>2.37</v>
      </c>
      <c r="H1782">
        <v>3.15</v>
      </c>
      <c r="I1782">
        <v>4.28</v>
      </c>
      <c r="J1782">
        <v>6.13</v>
      </c>
      <c r="K1782">
        <v>7.37</v>
      </c>
      <c r="L1782">
        <v>8.9</v>
      </c>
      <c r="M1782">
        <v>10.25</v>
      </c>
      <c r="N1782" s="92">
        <v>1.01</v>
      </c>
    </row>
    <row r="1783" spans="3:14" x14ac:dyDescent="0.2">
      <c r="C1783" t="s">
        <v>609</v>
      </c>
      <c r="D1783">
        <v>0.81</v>
      </c>
      <c r="E1783">
        <v>1.38</v>
      </c>
      <c r="F1783">
        <v>1.03</v>
      </c>
      <c r="G1783">
        <v>0.92</v>
      </c>
      <c r="H1783">
        <v>0.7</v>
      </c>
      <c r="I1783">
        <v>0.4</v>
      </c>
      <c r="J1783">
        <v>0.1</v>
      </c>
      <c r="K1783">
        <v>0.01</v>
      </c>
      <c r="L1783" t="s">
        <v>3</v>
      </c>
      <c r="M1783" t="s">
        <v>3</v>
      </c>
      <c r="N1783" s="92">
        <v>1.01</v>
      </c>
    </row>
    <row r="1784" spans="3:14" x14ac:dyDescent="0.2">
      <c r="C1784" t="s">
        <v>610</v>
      </c>
      <c r="D1784" t="s">
        <v>572</v>
      </c>
      <c r="E1784" t="s">
        <v>3</v>
      </c>
      <c r="F1784">
        <v>0.8</v>
      </c>
      <c r="G1784">
        <v>1.45</v>
      </c>
      <c r="H1784">
        <v>2.4500000000000002</v>
      </c>
      <c r="I1784">
        <v>3.88</v>
      </c>
      <c r="J1784">
        <v>6.03</v>
      </c>
      <c r="K1784">
        <v>7.36</v>
      </c>
      <c r="L1784">
        <v>8.9</v>
      </c>
      <c r="M1784">
        <v>10.25</v>
      </c>
      <c r="N1784" s="92" t="s">
        <v>3</v>
      </c>
    </row>
    <row r="1785" spans="3:14" x14ac:dyDescent="0.2">
      <c r="C1785" t="s">
        <v>580</v>
      </c>
      <c r="D1785">
        <v>0.01</v>
      </c>
      <c r="E1785">
        <v>0.08</v>
      </c>
      <c r="F1785">
        <v>0.21</v>
      </c>
      <c r="G1785">
        <v>0.34</v>
      </c>
      <c r="H1785">
        <v>0.55000000000000004</v>
      </c>
      <c r="I1785">
        <v>0.96</v>
      </c>
      <c r="J1785">
        <v>2.52</v>
      </c>
      <c r="K1785">
        <v>3.48</v>
      </c>
      <c r="L1785">
        <v>4.7300000000000004</v>
      </c>
      <c r="M1785">
        <v>5.92</v>
      </c>
      <c r="N1785" s="92">
        <v>0.02</v>
      </c>
    </row>
    <row r="1786" spans="3:14" x14ac:dyDescent="0.2">
      <c r="C1786" t="s">
        <v>581</v>
      </c>
      <c r="D1786">
        <v>0</v>
      </c>
      <c r="E1786">
        <v>0.04</v>
      </c>
      <c r="F1786">
        <v>0.09</v>
      </c>
      <c r="G1786">
        <v>0.14000000000000001</v>
      </c>
      <c r="H1786">
        <v>0.25</v>
      </c>
      <c r="I1786">
        <v>0.56999999999999995</v>
      </c>
      <c r="J1786">
        <v>0.77</v>
      </c>
      <c r="K1786">
        <v>1.02</v>
      </c>
      <c r="L1786">
        <v>1.25</v>
      </c>
      <c r="M1786">
        <v>1.41</v>
      </c>
      <c r="N1786" s="92">
        <v>0.01</v>
      </c>
    </row>
    <row r="1787" spans="3:14" x14ac:dyDescent="0.2">
      <c r="C1787" t="s">
        <v>582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 s="92">
        <v>0</v>
      </c>
    </row>
    <row r="1788" spans="3:14" x14ac:dyDescent="0.2">
      <c r="C1788" t="s">
        <v>47</v>
      </c>
      <c r="D1788" t="s">
        <v>572</v>
      </c>
      <c r="E1788" t="s">
        <v>3</v>
      </c>
      <c r="F1788">
        <v>0.03</v>
      </c>
      <c r="G1788">
        <v>0.1</v>
      </c>
      <c r="H1788">
        <v>0.2</v>
      </c>
      <c r="I1788">
        <v>0.33</v>
      </c>
      <c r="J1788">
        <v>0.39</v>
      </c>
      <c r="K1788">
        <v>0.39</v>
      </c>
      <c r="L1788">
        <v>0.42</v>
      </c>
      <c r="M1788">
        <v>0.42</v>
      </c>
      <c r="N1788" s="92" t="s">
        <v>572</v>
      </c>
    </row>
    <row r="1789" spans="3:14" x14ac:dyDescent="0.2">
      <c r="C1789" t="s">
        <v>583</v>
      </c>
      <c r="D1789">
        <v>0.01</v>
      </c>
      <c r="E1789">
        <v>0.14000000000000001</v>
      </c>
      <c r="F1789">
        <v>0.3</v>
      </c>
      <c r="G1789">
        <v>0.42</v>
      </c>
      <c r="H1789">
        <v>0.56999999999999995</v>
      </c>
      <c r="I1789">
        <v>0.69</v>
      </c>
      <c r="J1789">
        <v>0.65</v>
      </c>
      <c r="K1789">
        <v>0.67</v>
      </c>
      <c r="L1789">
        <v>0.68</v>
      </c>
      <c r="M1789">
        <v>0.68</v>
      </c>
      <c r="N1789" s="92">
        <v>0.03</v>
      </c>
    </row>
    <row r="1790" spans="3:14" x14ac:dyDescent="0.2">
      <c r="C1790" t="s">
        <v>584</v>
      </c>
      <c r="D1790">
        <v>0.01</v>
      </c>
      <c r="E1790">
        <v>0.08</v>
      </c>
      <c r="F1790">
        <v>0.16</v>
      </c>
      <c r="G1790">
        <v>0.26</v>
      </c>
      <c r="H1790">
        <v>0.38</v>
      </c>
      <c r="I1790">
        <v>0.48</v>
      </c>
      <c r="J1790">
        <v>0.51</v>
      </c>
      <c r="K1790">
        <v>0.52</v>
      </c>
      <c r="L1790">
        <v>0.53</v>
      </c>
      <c r="M1790">
        <v>0.53</v>
      </c>
      <c r="N1790" s="92">
        <v>0.02</v>
      </c>
    </row>
    <row r="1791" spans="3:14" x14ac:dyDescent="0.2">
      <c r="C1791" t="s">
        <v>585</v>
      </c>
      <c r="D1791">
        <v>0.09</v>
      </c>
      <c r="E1791">
        <v>0.12</v>
      </c>
      <c r="F1791">
        <v>0.1</v>
      </c>
      <c r="G1791">
        <v>0.16</v>
      </c>
      <c r="H1791">
        <v>0.22</v>
      </c>
      <c r="I1791">
        <v>0.27</v>
      </c>
      <c r="J1791">
        <v>0.28999999999999998</v>
      </c>
      <c r="K1791">
        <v>0.28999999999999998</v>
      </c>
      <c r="L1791">
        <v>0.3</v>
      </c>
      <c r="M1791">
        <v>0.3</v>
      </c>
      <c r="N1791" s="92">
        <v>0.11</v>
      </c>
    </row>
    <row r="1792" spans="3:14" x14ac:dyDescent="0.2">
      <c r="C1792" t="s">
        <v>586</v>
      </c>
      <c r="D1792">
        <v>0.63</v>
      </c>
      <c r="E1792">
        <v>0.92</v>
      </c>
      <c r="F1792">
        <v>0.94</v>
      </c>
      <c r="G1792">
        <v>0.94</v>
      </c>
      <c r="H1792">
        <v>0.97</v>
      </c>
      <c r="I1792">
        <v>0.98</v>
      </c>
      <c r="J1792">
        <v>0.98</v>
      </c>
      <c r="K1792">
        <v>0.99</v>
      </c>
      <c r="L1792">
        <v>0.99</v>
      </c>
      <c r="M1792">
        <v>0.99</v>
      </c>
      <c r="N1792" s="92">
        <v>0.8</v>
      </c>
    </row>
    <row r="1793" spans="3:14" x14ac:dyDescent="0.2">
      <c r="C1793" t="s">
        <v>587</v>
      </c>
      <c r="D1793">
        <v>0.04</v>
      </c>
      <c r="E1793">
        <v>0</v>
      </c>
      <c r="F1793">
        <v>0.01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 s="92">
        <v>0.02</v>
      </c>
    </row>
    <row r="1794" spans="3:14" x14ac:dyDescent="0.2">
      <c r="C1794" t="s">
        <v>588</v>
      </c>
      <c r="D1794" s="20">
        <f t="shared" ref="D1794:I1794" si="850">D1774+D1777+D1778+D1782</f>
        <v>65.710000000000008</v>
      </c>
      <c r="E1794" s="20">
        <f t="shared" si="850"/>
        <v>64.11</v>
      </c>
      <c r="F1794" s="20">
        <f t="shared" si="850"/>
        <v>67.819999999999993</v>
      </c>
      <c r="G1794" s="20">
        <f t="shared" si="850"/>
        <v>69.36</v>
      </c>
      <c r="H1794" s="20">
        <f t="shared" si="850"/>
        <v>67.17</v>
      </c>
      <c r="I1794" s="20">
        <f t="shared" si="850"/>
        <v>63.800000000000004</v>
      </c>
      <c r="J1794" s="20">
        <f>J1774+J1778+J1782</f>
        <v>67.099999999999994</v>
      </c>
      <c r="K1794" s="20">
        <f>K1774+K1778+K1782</f>
        <v>66.12</v>
      </c>
      <c r="L1794" s="20">
        <f>L1774+L1778+L1782</f>
        <v>65.990000000000009</v>
      </c>
      <c r="M1794" s="20">
        <f>M1774+M1778+M1782</f>
        <v>65.099999999999994</v>
      </c>
      <c r="N1794" s="94">
        <f>N1774+N1777+N1778+N1782</f>
        <v>59.32</v>
      </c>
    </row>
    <row r="1795" spans="3:14" x14ac:dyDescent="0.2">
      <c r="C1795" t="s">
        <v>589</v>
      </c>
      <c r="D1795">
        <v>-2.2200000000000002</v>
      </c>
      <c r="E1795">
        <v>-2.56</v>
      </c>
      <c r="F1795">
        <v>-4.34</v>
      </c>
      <c r="G1795">
        <v>-7.54</v>
      </c>
      <c r="H1795">
        <v>-7.54</v>
      </c>
      <c r="I1795">
        <v>-7.54</v>
      </c>
      <c r="J1795">
        <v>-7.54</v>
      </c>
      <c r="K1795">
        <v>-7.54</v>
      </c>
      <c r="L1795">
        <v>-7.54</v>
      </c>
      <c r="M1795">
        <v>-7.54</v>
      </c>
      <c r="N1795" s="92">
        <v>-2.2200000000000002</v>
      </c>
    </row>
    <row r="1796" spans="3:14" x14ac:dyDescent="0.2">
      <c r="C1796" s="14" t="s">
        <v>590</v>
      </c>
      <c r="D1796" s="32">
        <f>D1794+D1795</f>
        <v>63.490000000000009</v>
      </c>
      <c r="E1796" s="32">
        <f t="shared" ref="E1796:M1796" si="851">E1794+E1795</f>
        <v>61.55</v>
      </c>
      <c r="F1796" s="32">
        <f t="shared" si="851"/>
        <v>63.47999999999999</v>
      </c>
      <c r="G1796" s="32">
        <f t="shared" si="851"/>
        <v>61.82</v>
      </c>
      <c r="H1796" s="32">
        <f t="shared" si="851"/>
        <v>59.63</v>
      </c>
      <c r="I1796" s="32">
        <f t="shared" si="851"/>
        <v>56.260000000000005</v>
      </c>
      <c r="J1796" s="32">
        <f t="shared" si="851"/>
        <v>59.559999999999995</v>
      </c>
      <c r="K1796" s="32">
        <f t="shared" si="851"/>
        <v>58.580000000000005</v>
      </c>
      <c r="L1796" s="32">
        <f t="shared" si="851"/>
        <v>58.45000000000001</v>
      </c>
      <c r="M1796" s="32">
        <f t="shared" si="851"/>
        <v>57.559999999999995</v>
      </c>
      <c r="N1796" s="95">
        <f>N1794+N1795</f>
        <v>57.1</v>
      </c>
    </row>
    <row r="1797" spans="3:14" x14ac:dyDescent="0.2">
      <c r="C1797" t="s">
        <v>591</v>
      </c>
      <c r="D1797">
        <v>18.72</v>
      </c>
      <c r="E1797">
        <v>17.239999999999998</v>
      </c>
      <c r="F1797">
        <v>17.239999999999998</v>
      </c>
      <c r="G1797">
        <v>10.06</v>
      </c>
      <c r="H1797">
        <v>8.42</v>
      </c>
      <c r="I1797">
        <v>8.42</v>
      </c>
      <c r="J1797">
        <v>2.61</v>
      </c>
      <c r="K1797">
        <v>1.3</v>
      </c>
      <c r="N1797" s="92">
        <v>17.98</v>
      </c>
    </row>
    <row r="1798" spans="3:14" x14ac:dyDescent="0.2">
      <c r="C1798" t="s">
        <v>592</v>
      </c>
      <c r="D1798">
        <v>18.72</v>
      </c>
      <c r="E1798">
        <v>17.239999999999998</v>
      </c>
      <c r="F1798">
        <v>17.239999999999998</v>
      </c>
      <c r="G1798">
        <v>10.06</v>
      </c>
      <c r="H1798">
        <v>8.42</v>
      </c>
      <c r="I1798">
        <v>8.42</v>
      </c>
      <c r="J1798">
        <v>2.61</v>
      </c>
      <c r="K1798">
        <v>1.3</v>
      </c>
      <c r="L1798" t="s">
        <v>3</v>
      </c>
      <c r="M1798" t="s">
        <v>572</v>
      </c>
      <c r="N1798" s="92">
        <v>17.98</v>
      </c>
    </row>
    <row r="1799" spans="3:14" x14ac:dyDescent="0.2">
      <c r="C1799" t="s">
        <v>593</v>
      </c>
      <c r="D1799" t="s">
        <v>572</v>
      </c>
      <c r="E1799" t="s">
        <v>3</v>
      </c>
      <c r="F1799" t="s">
        <v>3</v>
      </c>
      <c r="G1799" t="s">
        <v>3</v>
      </c>
      <c r="H1799" t="s">
        <v>3</v>
      </c>
      <c r="I1799" t="s">
        <v>3</v>
      </c>
      <c r="J1799" t="s">
        <v>572</v>
      </c>
      <c r="K1799" t="s">
        <v>3</v>
      </c>
      <c r="L1799" t="s">
        <v>3</v>
      </c>
      <c r="M1799" t="s">
        <v>3</v>
      </c>
      <c r="N1799" s="92" t="s">
        <v>3</v>
      </c>
    </row>
    <row r="1800" spans="3:14" x14ac:dyDescent="0.2">
      <c r="C1800" t="s">
        <v>594</v>
      </c>
      <c r="D1800">
        <v>26.07</v>
      </c>
      <c r="E1800">
        <v>15.19</v>
      </c>
      <c r="F1800">
        <v>16.170000000000002</v>
      </c>
      <c r="G1800">
        <v>8.08</v>
      </c>
      <c r="H1800">
        <v>5.96</v>
      </c>
      <c r="I1800">
        <v>3.96</v>
      </c>
      <c r="J1800">
        <v>2.2599999999999998</v>
      </c>
      <c r="K1800">
        <v>0.66</v>
      </c>
      <c r="L1800">
        <v>0</v>
      </c>
      <c r="M1800">
        <v>0</v>
      </c>
      <c r="N1800" s="92">
        <v>13.75</v>
      </c>
    </row>
    <row r="1801" spans="3:14" x14ac:dyDescent="0.2">
      <c r="C1801" t="s">
        <v>612</v>
      </c>
      <c r="D1801">
        <v>2.83</v>
      </c>
      <c r="E1801">
        <v>2.2599999999999998</v>
      </c>
      <c r="F1801">
        <v>2.2599999999999998</v>
      </c>
      <c r="G1801">
        <v>2.2599999999999998</v>
      </c>
      <c r="H1801">
        <v>2.2599999999999998</v>
      </c>
      <c r="I1801">
        <v>2.2599999999999998</v>
      </c>
      <c r="J1801">
        <v>2.2599999999999998</v>
      </c>
      <c r="K1801">
        <v>0.66</v>
      </c>
      <c r="L1801" t="s">
        <v>572</v>
      </c>
      <c r="M1801" t="s">
        <v>3</v>
      </c>
      <c r="N1801" s="92">
        <v>2.2599999999999998</v>
      </c>
    </row>
    <row r="1802" spans="3:14" x14ac:dyDescent="0.2">
      <c r="C1802" t="s">
        <v>596</v>
      </c>
      <c r="D1802">
        <v>23.24</v>
      </c>
      <c r="E1802">
        <v>12.93</v>
      </c>
      <c r="F1802">
        <v>13.91</v>
      </c>
      <c r="G1802">
        <v>5.82</v>
      </c>
      <c r="H1802">
        <v>3.7</v>
      </c>
      <c r="I1802">
        <v>1.7</v>
      </c>
      <c r="J1802">
        <v>0</v>
      </c>
      <c r="K1802" t="s">
        <v>572</v>
      </c>
      <c r="L1802">
        <v>0</v>
      </c>
      <c r="M1802">
        <v>0</v>
      </c>
      <c r="N1802" s="92">
        <v>11.49</v>
      </c>
    </row>
    <row r="1803" spans="3:14" x14ac:dyDescent="0.2">
      <c r="C1803" s="14" t="s">
        <v>597</v>
      </c>
      <c r="D1803" s="32">
        <f>D1797-D1800</f>
        <v>-7.3500000000000014</v>
      </c>
      <c r="E1803" s="32">
        <f t="shared" ref="E1803:M1803" si="852">E1797-E1800</f>
        <v>2.0499999999999989</v>
      </c>
      <c r="F1803" s="32">
        <f t="shared" si="852"/>
        <v>1.0699999999999967</v>
      </c>
      <c r="G1803" s="32">
        <f t="shared" si="852"/>
        <v>1.9800000000000004</v>
      </c>
      <c r="H1803" s="32">
        <f t="shared" si="852"/>
        <v>2.46</v>
      </c>
      <c r="I1803" s="32">
        <f t="shared" si="852"/>
        <v>4.46</v>
      </c>
      <c r="J1803" s="32">
        <f t="shared" si="852"/>
        <v>0.35000000000000009</v>
      </c>
      <c r="K1803" s="32">
        <f t="shared" si="852"/>
        <v>0.64</v>
      </c>
      <c r="L1803" s="32">
        <f t="shared" si="852"/>
        <v>0</v>
      </c>
      <c r="M1803" s="32">
        <f t="shared" si="852"/>
        <v>0</v>
      </c>
      <c r="N1803" s="95">
        <f>N1797-N1800</f>
        <v>4.2300000000000004</v>
      </c>
    </row>
    <row r="1804" spans="3:14" x14ac:dyDescent="0.2">
      <c r="C1804" t="s">
        <v>598</v>
      </c>
      <c r="D1804" s="20">
        <f>D1796+D1803</f>
        <v>56.140000000000008</v>
      </c>
      <c r="E1804" s="20">
        <f t="shared" ref="E1804:M1804" si="853">E1796+E1803</f>
        <v>63.599999999999994</v>
      </c>
      <c r="F1804" s="20">
        <f t="shared" si="853"/>
        <v>64.549999999999983</v>
      </c>
      <c r="G1804" s="20">
        <f t="shared" si="853"/>
        <v>63.8</v>
      </c>
      <c r="H1804" s="20">
        <f t="shared" si="853"/>
        <v>62.09</v>
      </c>
      <c r="I1804" s="20">
        <f t="shared" si="853"/>
        <v>60.720000000000006</v>
      </c>
      <c r="J1804" s="20">
        <f t="shared" si="853"/>
        <v>59.91</v>
      </c>
      <c r="K1804" s="20">
        <f t="shared" si="853"/>
        <v>59.220000000000006</v>
      </c>
      <c r="L1804" s="20">
        <f t="shared" si="853"/>
        <v>58.45000000000001</v>
      </c>
      <c r="M1804" s="20">
        <f t="shared" si="853"/>
        <v>57.559999999999995</v>
      </c>
      <c r="N1804" s="94">
        <f>N1796+N1803</f>
        <v>61.33</v>
      </c>
    </row>
    <row r="1805" spans="3:14" x14ac:dyDescent="0.2">
      <c r="N1805" s="92"/>
    </row>
    <row r="1806" spans="3:14" x14ac:dyDescent="0.2">
      <c r="C1806" t="s">
        <v>599</v>
      </c>
      <c r="D1806">
        <v>61.18</v>
      </c>
      <c r="E1806">
        <v>68.41</v>
      </c>
      <c r="F1806">
        <v>71.14</v>
      </c>
      <c r="G1806">
        <v>73.61</v>
      </c>
      <c r="H1806">
        <v>71.900000000000006</v>
      </c>
      <c r="I1806">
        <v>70.52</v>
      </c>
      <c r="J1806">
        <v>69.709999999999994</v>
      </c>
      <c r="K1806">
        <v>67.42</v>
      </c>
      <c r="L1806">
        <v>65.98</v>
      </c>
      <c r="M1806">
        <v>65.099999999999994</v>
      </c>
      <c r="N1806" s="92">
        <v>65.81</v>
      </c>
    </row>
    <row r="1807" spans="3:14" x14ac:dyDescent="0.2">
      <c r="N1807" s="92"/>
    </row>
    <row r="1808" spans="3:14" x14ac:dyDescent="0.2">
      <c r="N1808" s="92"/>
    </row>
    <row r="1809" spans="2:14" s="2" customFormat="1" ht="15" x14ac:dyDescent="0.25">
      <c r="B1809" s="2" t="s">
        <v>638</v>
      </c>
      <c r="C1809" s="9"/>
      <c r="N1809" s="96"/>
    </row>
    <row r="1810" spans="2:14" s="2" customFormat="1" ht="15" x14ac:dyDescent="0.25">
      <c r="B1810" s="2" t="s">
        <v>600</v>
      </c>
      <c r="N1810" s="96"/>
    </row>
    <row r="1811" spans="2:14" s="2" customFormat="1" ht="15" x14ac:dyDescent="0.25">
      <c r="B1811" s="13" t="s">
        <v>601</v>
      </c>
      <c r="D1811" s="2">
        <v>2000</v>
      </c>
      <c r="E1811" s="2">
        <v>2010</v>
      </c>
      <c r="F1811" s="2">
        <v>2015</v>
      </c>
      <c r="G1811" s="2">
        <v>2020</v>
      </c>
      <c r="H1811" s="2">
        <v>2025</v>
      </c>
      <c r="I1811" s="2">
        <v>2030</v>
      </c>
      <c r="J1811" s="2">
        <v>2035</v>
      </c>
      <c r="K1811" s="2">
        <v>2040</v>
      </c>
      <c r="L1811" s="2">
        <v>2045</v>
      </c>
      <c r="M1811" s="2">
        <v>2050</v>
      </c>
      <c r="N1811" s="96">
        <v>2005</v>
      </c>
    </row>
    <row r="1812" spans="2:14" x14ac:dyDescent="0.2">
      <c r="C1812" t="s">
        <v>568</v>
      </c>
      <c r="D1812">
        <v>17.71</v>
      </c>
      <c r="E1812">
        <v>14.16</v>
      </c>
      <c r="F1812">
        <v>16.989999999999998</v>
      </c>
      <c r="G1812">
        <v>18.8</v>
      </c>
      <c r="H1812">
        <v>19.04</v>
      </c>
      <c r="I1812">
        <v>19.25</v>
      </c>
      <c r="J1812">
        <v>19.41</v>
      </c>
      <c r="K1812">
        <v>19.62</v>
      </c>
      <c r="L1812">
        <v>19.670000000000002</v>
      </c>
      <c r="M1812">
        <v>19.87</v>
      </c>
      <c r="N1812" s="92">
        <v>15.56</v>
      </c>
    </row>
    <row r="1813" spans="2:14" x14ac:dyDescent="0.2">
      <c r="C1813" t="s">
        <v>602</v>
      </c>
      <c r="D1813">
        <v>17.71</v>
      </c>
      <c r="E1813">
        <v>14.16</v>
      </c>
      <c r="F1813">
        <v>15.95</v>
      </c>
      <c r="G1813">
        <v>16.09</v>
      </c>
      <c r="H1813">
        <v>16.239999999999998</v>
      </c>
      <c r="I1813">
        <v>16.39</v>
      </c>
      <c r="J1813">
        <v>16.47</v>
      </c>
      <c r="K1813">
        <v>16.59</v>
      </c>
      <c r="L1813">
        <v>16.53</v>
      </c>
      <c r="M1813">
        <v>16.63</v>
      </c>
      <c r="N1813" s="92">
        <v>15.56</v>
      </c>
    </row>
    <row r="1814" spans="2:14" x14ac:dyDescent="0.2">
      <c r="C1814" t="s">
        <v>603</v>
      </c>
      <c r="D1814" t="s">
        <v>572</v>
      </c>
      <c r="E1814" t="s">
        <v>3</v>
      </c>
      <c r="F1814">
        <v>1.04</v>
      </c>
      <c r="G1814">
        <v>2.72</v>
      </c>
      <c r="H1814">
        <v>2.79</v>
      </c>
      <c r="I1814">
        <v>2.86</v>
      </c>
      <c r="J1814">
        <v>2.94</v>
      </c>
      <c r="K1814">
        <v>3.02</v>
      </c>
      <c r="L1814">
        <v>3.14</v>
      </c>
      <c r="M1814">
        <v>3.24</v>
      </c>
      <c r="N1814" s="92" t="s">
        <v>3</v>
      </c>
    </row>
    <row r="1815" spans="2:14" x14ac:dyDescent="0.2">
      <c r="C1815" t="s">
        <v>571</v>
      </c>
      <c r="D1815">
        <v>13.72</v>
      </c>
      <c r="E1815">
        <v>14.17</v>
      </c>
      <c r="F1815">
        <v>13.5</v>
      </c>
      <c r="G1815">
        <v>11.91</v>
      </c>
      <c r="H1815">
        <v>8.7799999999999994</v>
      </c>
      <c r="I1815">
        <v>4.84</v>
      </c>
      <c r="J1815">
        <v>0</v>
      </c>
      <c r="K1815">
        <v>0</v>
      </c>
      <c r="L1815">
        <v>0</v>
      </c>
      <c r="M1815">
        <v>0</v>
      </c>
      <c r="N1815" s="92">
        <v>13.94</v>
      </c>
    </row>
    <row r="1816" spans="2:14" x14ac:dyDescent="0.2">
      <c r="C1816" t="s">
        <v>604</v>
      </c>
      <c r="D1816">
        <v>1.1100000000000001</v>
      </c>
      <c r="E1816">
        <v>1.3</v>
      </c>
      <c r="F1816">
        <v>1.6</v>
      </c>
      <c r="G1816">
        <v>2.67</v>
      </c>
      <c r="H1816">
        <v>5.2</v>
      </c>
      <c r="I1816">
        <v>7.71</v>
      </c>
      <c r="J1816">
        <v>14.59</v>
      </c>
      <c r="K1816">
        <v>13.59</v>
      </c>
      <c r="L1816">
        <v>13.02</v>
      </c>
      <c r="M1816">
        <v>11.99</v>
      </c>
      <c r="N1816" s="92">
        <v>1.25</v>
      </c>
    </row>
    <row r="1817" spans="2:14" x14ac:dyDescent="0.2">
      <c r="C1817" t="s">
        <v>605</v>
      </c>
      <c r="D1817">
        <v>1.1100000000000001</v>
      </c>
      <c r="E1817">
        <v>1.3</v>
      </c>
      <c r="F1817">
        <v>1.05</v>
      </c>
      <c r="G1817">
        <v>0.86</v>
      </c>
      <c r="H1817">
        <v>0.53</v>
      </c>
      <c r="I1817">
        <v>0.34</v>
      </c>
      <c r="J1817">
        <v>0.18</v>
      </c>
      <c r="K1817" t="s">
        <v>3</v>
      </c>
      <c r="L1817" t="s">
        <v>3</v>
      </c>
      <c r="M1817" t="s">
        <v>3</v>
      </c>
      <c r="N1817" s="92">
        <v>1.25</v>
      </c>
    </row>
    <row r="1818" spans="2:14" x14ac:dyDescent="0.2">
      <c r="C1818" t="s">
        <v>606</v>
      </c>
      <c r="D1818" t="s">
        <v>3</v>
      </c>
      <c r="E1818" t="s">
        <v>3</v>
      </c>
      <c r="F1818" t="s">
        <v>3</v>
      </c>
      <c r="G1818">
        <v>0.86</v>
      </c>
      <c r="H1818">
        <v>3.26</v>
      </c>
      <c r="I1818">
        <v>5.66</v>
      </c>
      <c r="J1818">
        <v>12.58</v>
      </c>
      <c r="K1818">
        <v>11.65</v>
      </c>
      <c r="L1818">
        <v>11.07</v>
      </c>
      <c r="M1818">
        <v>10.039999999999999</v>
      </c>
      <c r="N1818" s="92" t="s">
        <v>3</v>
      </c>
    </row>
    <row r="1819" spans="2:14" x14ac:dyDescent="0.2">
      <c r="C1819" t="s">
        <v>607</v>
      </c>
      <c r="D1819" t="s">
        <v>3</v>
      </c>
      <c r="E1819" t="s">
        <v>3</v>
      </c>
      <c r="F1819">
        <v>0.55000000000000004</v>
      </c>
      <c r="G1819">
        <v>0.95</v>
      </c>
      <c r="H1819">
        <v>1.4</v>
      </c>
      <c r="I1819">
        <v>1.71</v>
      </c>
      <c r="J1819">
        <v>1.84</v>
      </c>
      <c r="K1819">
        <v>1.95</v>
      </c>
      <c r="L1819">
        <v>1.95</v>
      </c>
      <c r="M1819">
        <v>1.95</v>
      </c>
      <c r="N1819" s="92" t="s">
        <v>3</v>
      </c>
    </row>
    <row r="1820" spans="2:14" x14ac:dyDescent="0.2">
      <c r="C1820" t="s">
        <v>608</v>
      </c>
      <c r="D1820">
        <v>0.45</v>
      </c>
      <c r="E1820">
        <v>0.76</v>
      </c>
      <c r="F1820">
        <v>1.01</v>
      </c>
      <c r="G1820">
        <v>1.29</v>
      </c>
      <c r="H1820">
        <v>1.69</v>
      </c>
      <c r="I1820">
        <v>2.23</v>
      </c>
      <c r="J1820">
        <v>2.81</v>
      </c>
      <c r="K1820">
        <v>3.24</v>
      </c>
      <c r="L1820">
        <v>3.74</v>
      </c>
      <c r="M1820">
        <v>4.16</v>
      </c>
      <c r="N1820" s="92">
        <v>0.55000000000000004</v>
      </c>
    </row>
    <row r="1821" spans="2:14" x14ac:dyDescent="0.2">
      <c r="C1821" t="s">
        <v>609</v>
      </c>
      <c r="D1821">
        <v>0.45</v>
      </c>
      <c r="E1821">
        <v>0.76</v>
      </c>
      <c r="F1821">
        <v>0.56000000000000005</v>
      </c>
      <c r="G1821">
        <v>0.5</v>
      </c>
      <c r="H1821">
        <v>0.38</v>
      </c>
      <c r="I1821">
        <v>0.21</v>
      </c>
      <c r="J1821">
        <v>0.05</v>
      </c>
      <c r="K1821">
        <v>0</v>
      </c>
      <c r="L1821" t="s">
        <v>3</v>
      </c>
      <c r="M1821" t="s">
        <v>3</v>
      </c>
      <c r="N1821" s="92">
        <v>0.55000000000000004</v>
      </c>
    </row>
    <row r="1822" spans="2:14" x14ac:dyDescent="0.2">
      <c r="C1822" t="s">
        <v>610</v>
      </c>
      <c r="D1822" t="s">
        <v>3</v>
      </c>
      <c r="E1822" t="s">
        <v>3</v>
      </c>
      <c r="F1822">
        <v>0.45</v>
      </c>
      <c r="G1822">
        <v>0.79</v>
      </c>
      <c r="H1822">
        <v>1.31</v>
      </c>
      <c r="I1822">
        <v>2.02</v>
      </c>
      <c r="J1822">
        <v>2.75</v>
      </c>
      <c r="K1822">
        <v>3.24</v>
      </c>
      <c r="L1822">
        <v>3.74</v>
      </c>
      <c r="M1822">
        <v>4.16</v>
      </c>
      <c r="N1822" s="92" t="s">
        <v>3</v>
      </c>
    </row>
    <row r="1823" spans="2:14" x14ac:dyDescent="0.2">
      <c r="C1823" t="s">
        <v>580</v>
      </c>
      <c r="D1823">
        <v>0</v>
      </c>
      <c r="E1823">
        <v>0.02</v>
      </c>
      <c r="F1823">
        <v>0.06</v>
      </c>
      <c r="G1823">
        <v>0.09</v>
      </c>
      <c r="H1823">
        <v>0.15</v>
      </c>
      <c r="I1823">
        <v>0.26</v>
      </c>
      <c r="J1823">
        <v>0.68</v>
      </c>
      <c r="K1823">
        <v>0.94</v>
      </c>
      <c r="L1823">
        <v>1.28</v>
      </c>
      <c r="M1823">
        <v>1.6</v>
      </c>
      <c r="N1823" s="92">
        <v>0.01</v>
      </c>
    </row>
    <row r="1824" spans="2:14" x14ac:dyDescent="0.2">
      <c r="C1824" t="s">
        <v>581</v>
      </c>
      <c r="D1824">
        <v>0</v>
      </c>
      <c r="E1824">
        <v>0.02</v>
      </c>
      <c r="F1824">
        <v>0.05</v>
      </c>
      <c r="G1824">
        <v>0.09</v>
      </c>
      <c r="H1824">
        <v>0.15</v>
      </c>
      <c r="I1824">
        <v>0.34</v>
      </c>
      <c r="J1824">
        <v>0.46</v>
      </c>
      <c r="K1824">
        <v>0.61</v>
      </c>
      <c r="L1824">
        <v>0.75</v>
      </c>
      <c r="M1824">
        <v>0.85</v>
      </c>
      <c r="N1824" s="92">
        <v>0.01</v>
      </c>
    </row>
    <row r="1825" spans="3:14" x14ac:dyDescent="0.2">
      <c r="C1825" t="s">
        <v>582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 s="92">
        <v>0</v>
      </c>
    </row>
    <row r="1826" spans="3:14" x14ac:dyDescent="0.2">
      <c r="C1826" t="s">
        <v>47</v>
      </c>
      <c r="D1826" t="s">
        <v>3</v>
      </c>
      <c r="E1826" t="s">
        <v>3</v>
      </c>
      <c r="F1826">
        <v>0.02</v>
      </c>
      <c r="G1826">
        <v>0.05</v>
      </c>
      <c r="H1826">
        <v>0.1</v>
      </c>
      <c r="I1826">
        <v>0.16</v>
      </c>
      <c r="J1826">
        <v>0.2</v>
      </c>
      <c r="K1826">
        <v>0.2</v>
      </c>
      <c r="L1826">
        <v>0.21</v>
      </c>
      <c r="M1826">
        <v>0.21</v>
      </c>
      <c r="N1826" s="92" t="s">
        <v>3</v>
      </c>
    </row>
    <row r="1827" spans="3:14" x14ac:dyDescent="0.2">
      <c r="C1827" t="s">
        <v>583</v>
      </c>
      <c r="D1827">
        <v>0.01</v>
      </c>
      <c r="E1827">
        <v>0.09</v>
      </c>
      <c r="F1827">
        <v>0.21</v>
      </c>
      <c r="G1827">
        <v>0.28999999999999998</v>
      </c>
      <c r="H1827">
        <v>0.39</v>
      </c>
      <c r="I1827">
        <v>0.47</v>
      </c>
      <c r="J1827">
        <v>0.44</v>
      </c>
      <c r="K1827">
        <v>0.45</v>
      </c>
      <c r="L1827">
        <v>0.45</v>
      </c>
      <c r="M1827">
        <v>0.45</v>
      </c>
      <c r="N1827" s="92">
        <v>0.02</v>
      </c>
    </row>
    <row r="1828" spans="3:14" x14ac:dyDescent="0.2">
      <c r="C1828" t="s">
        <v>584</v>
      </c>
      <c r="D1828">
        <v>0.01</v>
      </c>
      <c r="E1828">
        <v>0.05</v>
      </c>
      <c r="F1828">
        <v>0.1</v>
      </c>
      <c r="G1828">
        <v>0.16</v>
      </c>
      <c r="H1828">
        <v>0.23</v>
      </c>
      <c r="I1828">
        <v>0.3</v>
      </c>
      <c r="J1828">
        <v>0.32</v>
      </c>
      <c r="K1828">
        <v>0.33</v>
      </c>
      <c r="L1828">
        <v>0.33</v>
      </c>
      <c r="M1828">
        <v>0.33</v>
      </c>
      <c r="N1828" s="92">
        <v>0.01</v>
      </c>
    </row>
    <row r="1829" spans="3:14" x14ac:dyDescent="0.2">
      <c r="C1829" t="s">
        <v>585</v>
      </c>
      <c r="D1829">
        <v>0.05</v>
      </c>
      <c r="E1829">
        <v>7.0000000000000007E-2</v>
      </c>
      <c r="F1829">
        <v>0.06</v>
      </c>
      <c r="G1829">
        <v>0.09</v>
      </c>
      <c r="H1829">
        <v>0.13</v>
      </c>
      <c r="I1829">
        <v>0.16</v>
      </c>
      <c r="J1829">
        <v>0.17</v>
      </c>
      <c r="K1829">
        <v>0.17</v>
      </c>
      <c r="L1829">
        <v>0.18</v>
      </c>
      <c r="M1829">
        <v>0.18</v>
      </c>
      <c r="N1829" s="92">
        <v>0.06</v>
      </c>
    </row>
    <row r="1830" spans="3:14" x14ac:dyDescent="0.2">
      <c r="C1830" t="s">
        <v>586</v>
      </c>
      <c r="D1830">
        <v>0.35</v>
      </c>
      <c r="E1830">
        <v>0.51</v>
      </c>
      <c r="F1830">
        <v>0.52</v>
      </c>
      <c r="G1830">
        <v>0.52</v>
      </c>
      <c r="H1830">
        <v>0.54</v>
      </c>
      <c r="I1830">
        <v>0.54</v>
      </c>
      <c r="J1830">
        <v>0.54</v>
      </c>
      <c r="K1830">
        <v>0.54</v>
      </c>
      <c r="L1830">
        <v>0.54</v>
      </c>
      <c r="M1830">
        <v>0.54</v>
      </c>
      <c r="N1830" s="92">
        <v>0.44</v>
      </c>
    </row>
    <row r="1831" spans="3:14" x14ac:dyDescent="0.2">
      <c r="C1831" t="s">
        <v>587</v>
      </c>
      <c r="D1831">
        <v>0.02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 s="92">
        <v>0.01</v>
      </c>
    </row>
    <row r="1832" spans="3:14" x14ac:dyDescent="0.2">
      <c r="C1832" t="s">
        <v>588</v>
      </c>
      <c r="D1832" s="20">
        <f t="shared" ref="D1832:I1832" si="854">D1812+D1815+D1816+D1820</f>
        <v>32.99</v>
      </c>
      <c r="E1832" s="20">
        <f t="shared" si="854"/>
        <v>30.39</v>
      </c>
      <c r="F1832" s="20">
        <f t="shared" si="854"/>
        <v>33.099999999999994</v>
      </c>
      <c r="G1832" s="20">
        <f t="shared" si="854"/>
        <v>34.67</v>
      </c>
      <c r="H1832" s="20">
        <f t="shared" si="854"/>
        <v>34.71</v>
      </c>
      <c r="I1832" s="20">
        <f t="shared" si="854"/>
        <v>34.03</v>
      </c>
      <c r="J1832" s="20">
        <f>J1812+J1816+J1820</f>
        <v>36.81</v>
      </c>
      <c r="K1832" s="20">
        <f>K1812+K1816+K1820</f>
        <v>36.450000000000003</v>
      </c>
      <c r="L1832" s="20">
        <f>L1812+L1816+L1820</f>
        <v>36.43</v>
      </c>
      <c r="M1832" s="20">
        <f>M1812+M1816+M1820</f>
        <v>36.019999999999996</v>
      </c>
      <c r="N1832" s="94">
        <f>N1812+N1815+N1816+N1820</f>
        <v>31.3</v>
      </c>
    </row>
    <row r="1833" spans="3:14" x14ac:dyDescent="0.2">
      <c r="C1833" t="s">
        <v>589</v>
      </c>
      <c r="D1833">
        <v>-0.89</v>
      </c>
      <c r="E1833">
        <v>-1.02</v>
      </c>
      <c r="F1833">
        <v>-2.13</v>
      </c>
      <c r="G1833">
        <v>-4.12</v>
      </c>
      <c r="H1833">
        <v>-4.12</v>
      </c>
      <c r="I1833">
        <v>-4.12</v>
      </c>
      <c r="J1833">
        <v>-4.12</v>
      </c>
      <c r="K1833">
        <v>-4.12</v>
      </c>
      <c r="L1833">
        <v>-4.12</v>
      </c>
      <c r="M1833">
        <v>-4.12</v>
      </c>
      <c r="N1833" s="92">
        <v>-0.89</v>
      </c>
    </row>
    <row r="1834" spans="3:14" x14ac:dyDescent="0.2">
      <c r="C1834" s="14" t="s">
        <v>590</v>
      </c>
      <c r="D1834" s="32">
        <f>D1832+D1833</f>
        <v>32.1</v>
      </c>
      <c r="E1834" s="32">
        <f t="shared" ref="E1834:M1834" si="855">E1832+E1833</f>
        <v>29.37</v>
      </c>
      <c r="F1834" s="32">
        <f t="shared" si="855"/>
        <v>30.969999999999995</v>
      </c>
      <c r="G1834" s="32">
        <f t="shared" si="855"/>
        <v>30.55</v>
      </c>
      <c r="H1834" s="32">
        <f t="shared" si="855"/>
        <v>30.59</v>
      </c>
      <c r="I1834" s="32">
        <f t="shared" si="855"/>
        <v>29.91</v>
      </c>
      <c r="J1834" s="32">
        <f t="shared" si="855"/>
        <v>32.690000000000005</v>
      </c>
      <c r="K1834" s="32">
        <f t="shared" si="855"/>
        <v>32.330000000000005</v>
      </c>
      <c r="L1834" s="32">
        <f t="shared" si="855"/>
        <v>32.31</v>
      </c>
      <c r="M1834" s="32">
        <f t="shared" si="855"/>
        <v>31.899999999999995</v>
      </c>
      <c r="N1834" s="95">
        <f>N1832+N1833</f>
        <v>30.41</v>
      </c>
    </row>
    <row r="1835" spans="3:14" x14ac:dyDescent="0.2">
      <c r="C1835" t="s">
        <v>591</v>
      </c>
      <c r="D1835">
        <v>10.16</v>
      </c>
      <c r="E1835">
        <v>9.36</v>
      </c>
      <c r="F1835">
        <v>9.36</v>
      </c>
      <c r="G1835">
        <v>5.46</v>
      </c>
      <c r="H1835">
        <v>4.57</v>
      </c>
      <c r="I1835">
        <v>4.57</v>
      </c>
      <c r="J1835">
        <v>1.42</v>
      </c>
      <c r="K1835">
        <v>0.71</v>
      </c>
      <c r="N1835" s="92">
        <v>9.76</v>
      </c>
    </row>
    <row r="1836" spans="3:14" x14ac:dyDescent="0.2">
      <c r="C1836" t="s">
        <v>592</v>
      </c>
      <c r="D1836">
        <v>10.16</v>
      </c>
      <c r="E1836">
        <v>9.36</v>
      </c>
      <c r="F1836">
        <v>9.36</v>
      </c>
      <c r="G1836">
        <v>5.46</v>
      </c>
      <c r="H1836">
        <v>4.57</v>
      </c>
      <c r="I1836">
        <v>4.57</v>
      </c>
      <c r="J1836">
        <v>1.42</v>
      </c>
      <c r="K1836">
        <v>0.71</v>
      </c>
      <c r="L1836" t="s">
        <v>3</v>
      </c>
      <c r="M1836" t="s">
        <v>3</v>
      </c>
      <c r="N1836" s="92">
        <v>9.76</v>
      </c>
    </row>
    <row r="1837" spans="3:14" x14ac:dyDescent="0.2">
      <c r="C1837" t="s">
        <v>593</v>
      </c>
      <c r="D1837" t="s">
        <v>3</v>
      </c>
      <c r="E1837" t="s">
        <v>3</v>
      </c>
      <c r="F1837" t="s">
        <v>3</v>
      </c>
      <c r="G1837" t="s">
        <v>3</v>
      </c>
      <c r="H1837" t="s">
        <v>3</v>
      </c>
      <c r="I1837" t="s">
        <v>3</v>
      </c>
      <c r="J1837" t="s">
        <v>3</v>
      </c>
      <c r="K1837" t="s">
        <v>3</v>
      </c>
      <c r="L1837" t="s">
        <v>3</v>
      </c>
      <c r="M1837" t="s">
        <v>3</v>
      </c>
      <c r="N1837" s="92" t="s">
        <v>3</v>
      </c>
    </row>
    <row r="1838" spans="3:14" x14ac:dyDescent="0.2">
      <c r="C1838" t="s">
        <v>594</v>
      </c>
      <c r="D1838">
        <v>11.67</v>
      </c>
      <c r="E1838">
        <v>4.0999999999999996</v>
      </c>
      <c r="F1838">
        <v>5.1100000000000003</v>
      </c>
      <c r="G1838">
        <v>1.1299999999999999</v>
      </c>
      <c r="H1838">
        <v>1.1299999999999999</v>
      </c>
      <c r="I1838">
        <v>1.1200000000000001</v>
      </c>
      <c r="J1838">
        <v>1.1299999999999999</v>
      </c>
      <c r="K1838">
        <v>0.36</v>
      </c>
      <c r="M1838">
        <v>0</v>
      </c>
      <c r="N1838" s="92">
        <v>6.85</v>
      </c>
    </row>
    <row r="1839" spans="3:14" x14ac:dyDescent="0.2">
      <c r="C1839" t="s">
        <v>612</v>
      </c>
      <c r="D1839">
        <v>1.47</v>
      </c>
      <c r="E1839">
        <v>1.1299999999999999</v>
      </c>
      <c r="F1839">
        <v>1.1299999999999999</v>
      </c>
      <c r="G1839">
        <v>1.1299999999999999</v>
      </c>
      <c r="H1839">
        <v>1.1299999999999999</v>
      </c>
      <c r="I1839">
        <v>1.1299999999999999</v>
      </c>
      <c r="J1839">
        <v>1.1299999999999999</v>
      </c>
      <c r="K1839">
        <v>0.36</v>
      </c>
      <c r="L1839" t="s">
        <v>3</v>
      </c>
      <c r="M1839" t="s">
        <v>3</v>
      </c>
      <c r="N1839" s="92">
        <v>1.1299999999999999</v>
      </c>
    </row>
    <row r="1840" spans="3:14" x14ac:dyDescent="0.2">
      <c r="C1840" t="s">
        <v>596</v>
      </c>
      <c r="D1840">
        <v>10.199999999999999</v>
      </c>
      <c r="E1840">
        <v>2.97</v>
      </c>
      <c r="F1840">
        <v>3.98</v>
      </c>
      <c r="G1840">
        <v>0</v>
      </c>
      <c r="H1840" t="s">
        <v>3</v>
      </c>
      <c r="I1840">
        <v>0</v>
      </c>
      <c r="J1840" t="s">
        <v>572</v>
      </c>
      <c r="K1840" t="s">
        <v>3</v>
      </c>
      <c r="L1840" t="s">
        <v>3</v>
      </c>
      <c r="M1840">
        <v>0</v>
      </c>
      <c r="N1840" s="92">
        <v>5.72</v>
      </c>
    </row>
    <row r="1841" spans="2:14" x14ac:dyDescent="0.2">
      <c r="C1841" s="14" t="s">
        <v>597</v>
      </c>
      <c r="D1841" s="32">
        <f>D1835-D1838</f>
        <v>-1.5099999999999998</v>
      </c>
      <c r="E1841" s="32">
        <f t="shared" ref="E1841:M1841" si="856">E1835-E1838</f>
        <v>5.26</v>
      </c>
      <c r="F1841" s="32">
        <f t="shared" si="856"/>
        <v>4.2499999999999991</v>
      </c>
      <c r="G1841" s="32">
        <f t="shared" si="856"/>
        <v>4.33</v>
      </c>
      <c r="H1841" s="32">
        <f t="shared" si="856"/>
        <v>3.4400000000000004</v>
      </c>
      <c r="I1841" s="32">
        <f t="shared" si="856"/>
        <v>3.45</v>
      </c>
      <c r="J1841" s="32">
        <f t="shared" si="856"/>
        <v>0.29000000000000004</v>
      </c>
      <c r="K1841" s="32">
        <f t="shared" si="856"/>
        <v>0.35</v>
      </c>
      <c r="L1841" s="32">
        <f t="shared" si="856"/>
        <v>0</v>
      </c>
      <c r="M1841" s="32">
        <f t="shared" si="856"/>
        <v>0</v>
      </c>
      <c r="N1841" s="95">
        <f>N1835-N1838</f>
        <v>2.91</v>
      </c>
    </row>
    <row r="1842" spans="2:14" x14ac:dyDescent="0.2">
      <c r="C1842" t="s">
        <v>598</v>
      </c>
      <c r="D1842" s="20">
        <f>D1834+D1841</f>
        <v>30.590000000000003</v>
      </c>
      <c r="E1842" s="20">
        <f t="shared" ref="E1842:M1842" si="857">E1834+E1841</f>
        <v>34.630000000000003</v>
      </c>
      <c r="F1842" s="20">
        <f t="shared" si="857"/>
        <v>35.219999999999992</v>
      </c>
      <c r="G1842" s="20">
        <f t="shared" si="857"/>
        <v>34.880000000000003</v>
      </c>
      <c r="H1842" s="20">
        <f t="shared" si="857"/>
        <v>34.03</v>
      </c>
      <c r="I1842" s="20">
        <f t="shared" si="857"/>
        <v>33.36</v>
      </c>
      <c r="J1842" s="20">
        <f t="shared" si="857"/>
        <v>32.980000000000004</v>
      </c>
      <c r="K1842" s="20">
        <f t="shared" si="857"/>
        <v>32.680000000000007</v>
      </c>
      <c r="L1842" s="20">
        <f t="shared" si="857"/>
        <v>32.31</v>
      </c>
      <c r="M1842" s="20">
        <f t="shared" si="857"/>
        <v>31.899999999999995</v>
      </c>
      <c r="N1842" s="94">
        <f>N1834+N1841</f>
        <v>33.32</v>
      </c>
    </row>
    <row r="1843" spans="2:14" x14ac:dyDescent="0.2">
      <c r="N1843" s="92"/>
    </row>
    <row r="1844" spans="2:14" x14ac:dyDescent="0.2">
      <c r="C1844" t="s">
        <v>599</v>
      </c>
      <c r="D1844">
        <v>32.950000000000003</v>
      </c>
      <c r="E1844">
        <v>36.770000000000003</v>
      </c>
      <c r="F1844">
        <v>38.479999999999997</v>
      </c>
      <c r="G1844">
        <v>40.14</v>
      </c>
      <c r="H1844">
        <v>39.28</v>
      </c>
      <c r="I1844">
        <v>38.6</v>
      </c>
      <c r="J1844">
        <v>38.229999999999997</v>
      </c>
      <c r="K1844">
        <v>37.159999999999997</v>
      </c>
      <c r="L1844">
        <v>36.44</v>
      </c>
      <c r="M1844">
        <v>36.020000000000003</v>
      </c>
      <c r="N1844" s="92">
        <v>35.33</v>
      </c>
    </row>
    <row r="1845" spans="2:14" x14ac:dyDescent="0.2">
      <c r="N1845" s="92"/>
    </row>
    <row r="1846" spans="2:14" x14ac:dyDescent="0.2">
      <c r="N1846" s="92"/>
    </row>
    <row r="1847" spans="2:14" s="2" customFormat="1" ht="15" x14ac:dyDescent="0.25">
      <c r="B1847" s="2" t="s">
        <v>638</v>
      </c>
      <c r="C1847" s="9"/>
      <c r="N1847" s="96"/>
    </row>
    <row r="1848" spans="2:14" s="2" customFormat="1" ht="15" x14ac:dyDescent="0.25">
      <c r="B1848" s="2" t="s">
        <v>614</v>
      </c>
      <c r="N1848" s="96"/>
    </row>
    <row r="1849" spans="2:14" s="2" customFormat="1" ht="15" x14ac:dyDescent="0.25">
      <c r="B1849" s="13" t="s">
        <v>615</v>
      </c>
      <c r="D1849" s="2">
        <v>2000</v>
      </c>
      <c r="E1849" s="2">
        <v>2010</v>
      </c>
      <c r="F1849" s="2">
        <v>2015</v>
      </c>
      <c r="G1849" s="2">
        <v>2020</v>
      </c>
      <c r="H1849" s="2">
        <v>2025</v>
      </c>
      <c r="I1849" s="2">
        <v>2030</v>
      </c>
      <c r="J1849" s="2">
        <v>2035</v>
      </c>
      <c r="K1849" s="2">
        <v>2040</v>
      </c>
      <c r="L1849" s="2">
        <v>2045</v>
      </c>
      <c r="M1849" s="2">
        <v>2050</v>
      </c>
      <c r="N1849" s="96">
        <v>2005</v>
      </c>
    </row>
    <row r="1850" spans="2:14" x14ac:dyDescent="0.2">
      <c r="C1850" t="s">
        <v>568</v>
      </c>
      <c r="D1850">
        <v>20.67</v>
      </c>
      <c r="E1850">
        <v>21.26</v>
      </c>
      <c r="F1850">
        <v>21.77</v>
      </c>
      <c r="G1850">
        <v>22.68</v>
      </c>
      <c r="H1850">
        <v>22.61</v>
      </c>
      <c r="I1850">
        <v>22.52</v>
      </c>
      <c r="J1850">
        <v>22.34</v>
      </c>
      <c r="K1850">
        <v>22.24</v>
      </c>
      <c r="L1850">
        <v>21.92</v>
      </c>
      <c r="M1850">
        <v>21.71</v>
      </c>
      <c r="N1850" s="92">
        <v>18.78</v>
      </c>
    </row>
    <row r="1851" spans="2:14" x14ac:dyDescent="0.2">
      <c r="C1851" t="s">
        <v>633</v>
      </c>
      <c r="D1851">
        <v>20.67</v>
      </c>
      <c r="E1851">
        <v>21.26</v>
      </c>
      <c r="F1851">
        <v>21</v>
      </c>
      <c r="G1851">
        <v>20.78</v>
      </c>
      <c r="H1851">
        <v>20.58</v>
      </c>
      <c r="I1851">
        <v>20.37</v>
      </c>
      <c r="J1851">
        <v>20.07</v>
      </c>
      <c r="K1851">
        <v>19.82</v>
      </c>
      <c r="L1851">
        <v>19.32</v>
      </c>
      <c r="M1851">
        <v>18.95</v>
      </c>
      <c r="N1851" s="92">
        <v>18.78</v>
      </c>
    </row>
    <row r="1852" spans="2:14" x14ac:dyDescent="0.2">
      <c r="C1852" t="s">
        <v>603</v>
      </c>
      <c r="D1852" t="s">
        <v>572</v>
      </c>
      <c r="E1852" t="s">
        <v>3</v>
      </c>
      <c r="F1852">
        <v>0.76</v>
      </c>
      <c r="G1852">
        <v>1.89</v>
      </c>
      <c r="H1852">
        <v>2.0299999999999998</v>
      </c>
      <c r="I1852">
        <v>2.15</v>
      </c>
      <c r="J1852">
        <v>2.27</v>
      </c>
      <c r="K1852">
        <v>2.42</v>
      </c>
      <c r="L1852">
        <v>2.61</v>
      </c>
      <c r="M1852">
        <v>2.77</v>
      </c>
      <c r="N1852" s="92" t="s">
        <v>3</v>
      </c>
    </row>
    <row r="1853" spans="2:14" x14ac:dyDescent="0.2">
      <c r="C1853" t="s">
        <v>571</v>
      </c>
      <c r="D1853">
        <v>11.01</v>
      </c>
      <c r="E1853">
        <v>10.96</v>
      </c>
      <c r="F1853">
        <v>11.08</v>
      </c>
      <c r="G1853">
        <v>9.77</v>
      </c>
      <c r="H1853">
        <v>7.21</v>
      </c>
      <c r="I1853">
        <v>3.97</v>
      </c>
      <c r="J1853">
        <v>0</v>
      </c>
      <c r="K1853">
        <v>0</v>
      </c>
      <c r="L1853">
        <v>0</v>
      </c>
      <c r="M1853">
        <v>0</v>
      </c>
      <c r="N1853" s="92">
        <v>7.97</v>
      </c>
    </row>
    <row r="1854" spans="2:14" x14ac:dyDescent="0.2">
      <c r="C1854" t="s">
        <v>604</v>
      </c>
      <c r="D1854">
        <v>0.67</v>
      </c>
      <c r="E1854">
        <v>0.88</v>
      </c>
      <c r="F1854">
        <v>1.04</v>
      </c>
      <c r="G1854">
        <v>1.1599999999999999</v>
      </c>
      <c r="H1854">
        <v>1.19</v>
      </c>
      <c r="I1854">
        <v>1.23</v>
      </c>
      <c r="J1854">
        <v>4.63</v>
      </c>
      <c r="K1854">
        <v>3.3</v>
      </c>
      <c r="L1854">
        <v>2.4700000000000002</v>
      </c>
      <c r="M1854">
        <v>1.28</v>
      </c>
      <c r="N1854" s="92">
        <v>0.82</v>
      </c>
    </row>
    <row r="1855" spans="2:14" x14ac:dyDescent="0.2">
      <c r="C1855" t="s">
        <v>605</v>
      </c>
      <c r="D1855">
        <v>0.67</v>
      </c>
      <c r="E1855">
        <v>0.88</v>
      </c>
      <c r="F1855">
        <v>0.71</v>
      </c>
      <c r="G1855">
        <v>0.62</v>
      </c>
      <c r="H1855">
        <v>0.38</v>
      </c>
      <c r="I1855">
        <v>0.24</v>
      </c>
      <c r="J1855">
        <v>0.14000000000000001</v>
      </c>
      <c r="K1855" t="s">
        <v>3</v>
      </c>
      <c r="L1855" t="s">
        <v>3</v>
      </c>
      <c r="M1855" t="s">
        <v>3</v>
      </c>
      <c r="N1855" s="92">
        <v>0.82</v>
      </c>
    </row>
    <row r="1856" spans="2:14" x14ac:dyDescent="0.2">
      <c r="C1856" t="s">
        <v>606</v>
      </c>
      <c r="D1856" t="s">
        <v>3</v>
      </c>
      <c r="E1856" t="s">
        <v>3</v>
      </c>
      <c r="F1856" t="s">
        <v>3</v>
      </c>
      <c r="G1856" t="s">
        <v>3</v>
      </c>
      <c r="H1856" t="s">
        <v>3</v>
      </c>
      <c r="I1856" t="s">
        <v>3</v>
      </c>
      <c r="J1856">
        <v>3.41</v>
      </c>
      <c r="K1856">
        <v>2.14</v>
      </c>
      <c r="L1856">
        <v>1.31</v>
      </c>
      <c r="M1856">
        <v>0.12</v>
      </c>
      <c r="N1856" s="92" t="s">
        <v>3</v>
      </c>
    </row>
    <row r="1857" spans="3:14" x14ac:dyDescent="0.2">
      <c r="C1857" t="s">
        <v>607</v>
      </c>
      <c r="D1857" t="s">
        <v>3</v>
      </c>
      <c r="E1857" t="s">
        <v>3</v>
      </c>
      <c r="F1857">
        <v>0.34</v>
      </c>
      <c r="G1857">
        <v>0.54</v>
      </c>
      <c r="H1857">
        <v>0.8</v>
      </c>
      <c r="I1857">
        <v>0.99</v>
      </c>
      <c r="J1857">
        <v>1.08</v>
      </c>
      <c r="K1857">
        <v>1.1599999999999999</v>
      </c>
      <c r="L1857">
        <v>1.1599999999999999</v>
      </c>
      <c r="M1857">
        <v>1.1599999999999999</v>
      </c>
      <c r="N1857" s="92" t="s">
        <v>3</v>
      </c>
    </row>
    <row r="1858" spans="3:14" x14ac:dyDescent="0.2">
      <c r="C1858" t="s">
        <v>608</v>
      </c>
      <c r="D1858">
        <v>0.36</v>
      </c>
      <c r="E1858">
        <v>0.62</v>
      </c>
      <c r="F1858">
        <v>0.82</v>
      </c>
      <c r="G1858">
        <v>1.08</v>
      </c>
      <c r="H1858">
        <v>1.46</v>
      </c>
      <c r="I1858">
        <v>2.0499999999999998</v>
      </c>
      <c r="J1858">
        <v>3.32</v>
      </c>
      <c r="K1858">
        <v>4.13</v>
      </c>
      <c r="L1858">
        <v>5.16</v>
      </c>
      <c r="M1858">
        <v>6.09</v>
      </c>
      <c r="N1858" s="92">
        <v>0.45</v>
      </c>
    </row>
    <row r="1859" spans="3:14" x14ac:dyDescent="0.2">
      <c r="C1859" t="s">
        <v>609</v>
      </c>
      <c r="D1859">
        <v>0.36</v>
      </c>
      <c r="E1859">
        <v>0.62</v>
      </c>
      <c r="F1859">
        <v>0.47</v>
      </c>
      <c r="G1859">
        <v>0.42</v>
      </c>
      <c r="H1859">
        <v>0.32</v>
      </c>
      <c r="I1859">
        <v>0.19</v>
      </c>
      <c r="J1859">
        <v>0.04</v>
      </c>
      <c r="K1859">
        <v>0</v>
      </c>
      <c r="L1859" t="s">
        <v>3</v>
      </c>
      <c r="M1859" t="s">
        <v>3</v>
      </c>
      <c r="N1859" s="92">
        <v>0.45</v>
      </c>
    </row>
    <row r="1860" spans="3:14" x14ac:dyDescent="0.2">
      <c r="C1860" t="s">
        <v>610</v>
      </c>
      <c r="D1860" t="s">
        <v>3</v>
      </c>
      <c r="E1860" t="s">
        <v>3</v>
      </c>
      <c r="F1860">
        <v>0.36</v>
      </c>
      <c r="G1860">
        <v>0.66</v>
      </c>
      <c r="H1860">
        <v>1.1399999999999999</v>
      </c>
      <c r="I1860">
        <v>1.86</v>
      </c>
      <c r="J1860">
        <v>3.27</v>
      </c>
      <c r="K1860">
        <v>4.12</v>
      </c>
      <c r="L1860">
        <v>5.16</v>
      </c>
      <c r="M1860">
        <v>6.09</v>
      </c>
      <c r="N1860" s="92" t="s">
        <v>3</v>
      </c>
    </row>
    <row r="1861" spans="3:14" x14ac:dyDescent="0.2">
      <c r="C1861" t="s">
        <v>580</v>
      </c>
      <c r="D1861">
        <v>0.01</v>
      </c>
      <c r="E1861">
        <v>0.06</v>
      </c>
      <c r="F1861">
        <v>0.15</v>
      </c>
      <c r="G1861">
        <v>0.25</v>
      </c>
      <c r="H1861">
        <v>0.4</v>
      </c>
      <c r="I1861">
        <v>0.7</v>
      </c>
      <c r="J1861">
        <v>1.84</v>
      </c>
      <c r="K1861">
        <v>2.54</v>
      </c>
      <c r="L1861">
        <v>3.45</v>
      </c>
      <c r="M1861">
        <v>4.32</v>
      </c>
      <c r="N1861" s="92">
        <v>0.01</v>
      </c>
    </row>
    <row r="1862" spans="3:14" x14ac:dyDescent="0.2">
      <c r="C1862" t="s">
        <v>581</v>
      </c>
      <c r="D1862">
        <v>0</v>
      </c>
      <c r="E1862">
        <v>0.01</v>
      </c>
      <c r="F1862">
        <v>0.04</v>
      </c>
      <c r="G1862">
        <v>0.06</v>
      </c>
      <c r="H1862">
        <v>0.1</v>
      </c>
      <c r="I1862">
        <v>0.23</v>
      </c>
      <c r="J1862">
        <v>0.31</v>
      </c>
      <c r="K1862">
        <v>0.41</v>
      </c>
      <c r="L1862">
        <v>0.5</v>
      </c>
      <c r="M1862">
        <v>0.56000000000000005</v>
      </c>
      <c r="N1862" s="92">
        <v>0</v>
      </c>
    </row>
    <row r="1863" spans="3:14" x14ac:dyDescent="0.2">
      <c r="C1863" t="s">
        <v>582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 s="92">
        <v>0</v>
      </c>
    </row>
    <row r="1864" spans="3:14" x14ac:dyDescent="0.2">
      <c r="C1864" t="s">
        <v>47</v>
      </c>
      <c r="D1864" t="s">
        <v>3</v>
      </c>
      <c r="E1864" t="s">
        <v>3</v>
      </c>
      <c r="F1864">
        <v>0.02</v>
      </c>
      <c r="G1864">
        <v>0.05</v>
      </c>
      <c r="H1864">
        <v>0.1</v>
      </c>
      <c r="I1864">
        <v>0.16</v>
      </c>
      <c r="J1864">
        <v>0.2</v>
      </c>
      <c r="K1864">
        <v>0.2</v>
      </c>
      <c r="L1864">
        <v>0.21</v>
      </c>
      <c r="M1864">
        <v>0.21</v>
      </c>
      <c r="N1864" s="92" t="s">
        <v>3</v>
      </c>
    </row>
    <row r="1865" spans="3:14" x14ac:dyDescent="0.2">
      <c r="C1865" t="s">
        <v>583</v>
      </c>
      <c r="D1865">
        <v>0.01</v>
      </c>
      <c r="E1865">
        <v>0.04</v>
      </c>
      <c r="F1865">
        <v>0.09</v>
      </c>
      <c r="G1865">
        <v>0.13</v>
      </c>
      <c r="H1865">
        <v>0.18</v>
      </c>
      <c r="I1865">
        <v>0.23</v>
      </c>
      <c r="J1865">
        <v>0.22</v>
      </c>
      <c r="K1865">
        <v>0.23</v>
      </c>
      <c r="L1865">
        <v>0.23</v>
      </c>
      <c r="M1865">
        <v>0.23</v>
      </c>
      <c r="N1865" s="92">
        <v>0.01</v>
      </c>
    </row>
    <row r="1866" spans="3:14" x14ac:dyDescent="0.2">
      <c r="C1866" t="s">
        <v>584</v>
      </c>
      <c r="D1866">
        <v>0</v>
      </c>
      <c r="E1866">
        <v>0.03</v>
      </c>
      <c r="F1866">
        <v>0.06</v>
      </c>
      <c r="G1866">
        <v>0.1</v>
      </c>
      <c r="H1866">
        <v>0.14000000000000001</v>
      </c>
      <c r="I1866">
        <v>0.18</v>
      </c>
      <c r="J1866">
        <v>0.19</v>
      </c>
      <c r="K1866">
        <v>0.19</v>
      </c>
      <c r="L1866">
        <v>0.2</v>
      </c>
      <c r="M1866">
        <v>0.2</v>
      </c>
      <c r="N1866" s="92">
        <v>0.01</v>
      </c>
    </row>
    <row r="1867" spans="3:14" x14ac:dyDescent="0.2">
      <c r="C1867" t="s">
        <v>585</v>
      </c>
      <c r="D1867">
        <v>0.04</v>
      </c>
      <c r="E1867">
        <v>0.05</v>
      </c>
      <c r="F1867">
        <v>0.04</v>
      </c>
      <c r="G1867">
        <v>7.0000000000000007E-2</v>
      </c>
      <c r="H1867">
        <v>0.09</v>
      </c>
      <c r="I1867">
        <v>0.11</v>
      </c>
      <c r="J1867">
        <v>0.12</v>
      </c>
      <c r="K1867">
        <v>0.12</v>
      </c>
      <c r="L1867">
        <v>0.12</v>
      </c>
      <c r="M1867">
        <v>0.12</v>
      </c>
      <c r="N1867" s="92">
        <v>0.04</v>
      </c>
    </row>
    <row r="1868" spans="3:14" x14ac:dyDescent="0.2">
      <c r="C1868" t="s">
        <v>586</v>
      </c>
      <c r="D1868">
        <v>0.28999999999999998</v>
      </c>
      <c r="E1868">
        <v>0.41</v>
      </c>
      <c r="F1868">
        <v>0.42</v>
      </c>
      <c r="G1868">
        <v>0.42</v>
      </c>
      <c r="H1868">
        <v>0.44</v>
      </c>
      <c r="I1868">
        <v>0.44</v>
      </c>
      <c r="J1868">
        <v>0.44</v>
      </c>
      <c r="K1868">
        <v>0.44</v>
      </c>
      <c r="L1868">
        <v>0.44</v>
      </c>
      <c r="M1868">
        <v>0.44</v>
      </c>
      <c r="N1868" s="92">
        <v>0.36</v>
      </c>
    </row>
    <row r="1869" spans="3:14" x14ac:dyDescent="0.2">
      <c r="C1869" t="s">
        <v>587</v>
      </c>
      <c r="D1869">
        <v>0.02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 s="92">
        <v>0.01</v>
      </c>
    </row>
    <row r="1870" spans="3:14" x14ac:dyDescent="0.2">
      <c r="C1870" t="s">
        <v>588</v>
      </c>
      <c r="D1870" s="20">
        <f t="shared" ref="D1870:I1870" si="858">D1850+D1853+D1854+D1858</f>
        <v>32.71</v>
      </c>
      <c r="E1870" s="20">
        <f t="shared" si="858"/>
        <v>33.72</v>
      </c>
      <c r="F1870" s="20">
        <f t="shared" si="858"/>
        <v>34.71</v>
      </c>
      <c r="G1870" s="20">
        <f t="shared" si="858"/>
        <v>34.69</v>
      </c>
      <c r="H1870" s="20">
        <f t="shared" si="858"/>
        <v>32.47</v>
      </c>
      <c r="I1870" s="20">
        <f t="shared" si="858"/>
        <v>29.77</v>
      </c>
      <c r="J1870" s="20">
        <f>J1850+J1854+J1858</f>
        <v>30.29</v>
      </c>
      <c r="K1870" s="20">
        <f>K1850+K1854+K1858</f>
        <v>29.669999999999998</v>
      </c>
      <c r="L1870" s="20">
        <f>L1850+L1854+L1858</f>
        <v>29.55</v>
      </c>
      <c r="M1870" s="20">
        <f>M1850+M1854+M1858</f>
        <v>29.080000000000002</v>
      </c>
      <c r="N1870" s="94">
        <f>N1850+N1853+N1854+N1858</f>
        <v>28.02</v>
      </c>
    </row>
    <row r="1871" spans="3:14" x14ac:dyDescent="0.2">
      <c r="C1871" t="s">
        <v>589</v>
      </c>
      <c r="D1871">
        <v>-1.33</v>
      </c>
      <c r="E1871">
        <v>-1.53</v>
      </c>
      <c r="F1871">
        <v>-2.21</v>
      </c>
      <c r="G1871">
        <v>-3.42</v>
      </c>
      <c r="H1871">
        <v>-3.42</v>
      </c>
      <c r="I1871">
        <v>-3.42</v>
      </c>
      <c r="J1871">
        <v>-3.42</v>
      </c>
      <c r="K1871">
        <v>-3.42</v>
      </c>
      <c r="L1871">
        <v>-3.42</v>
      </c>
      <c r="M1871">
        <v>-3.42</v>
      </c>
      <c r="N1871" s="92">
        <v>-1.33</v>
      </c>
    </row>
    <row r="1872" spans="3:14" x14ac:dyDescent="0.2">
      <c r="C1872" s="14" t="s">
        <v>590</v>
      </c>
      <c r="D1872" s="32">
        <f>D1870+D1871</f>
        <v>31.380000000000003</v>
      </c>
      <c r="E1872" s="32">
        <f t="shared" ref="E1872:M1872" si="859">E1870+E1871</f>
        <v>32.19</v>
      </c>
      <c r="F1872" s="32">
        <f t="shared" si="859"/>
        <v>32.5</v>
      </c>
      <c r="G1872" s="32">
        <f t="shared" si="859"/>
        <v>31.269999999999996</v>
      </c>
      <c r="H1872" s="32">
        <f t="shared" si="859"/>
        <v>29.049999999999997</v>
      </c>
      <c r="I1872" s="32">
        <f t="shared" si="859"/>
        <v>26.35</v>
      </c>
      <c r="J1872" s="32">
        <f t="shared" si="859"/>
        <v>26.869999999999997</v>
      </c>
      <c r="K1872" s="32">
        <f t="shared" si="859"/>
        <v>26.25</v>
      </c>
      <c r="L1872" s="32">
        <f t="shared" si="859"/>
        <v>26.130000000000003</v>
      </c>
      <c r="M1872" s="32">
        <f t="shared" si="859"/>
        <v>25.660000000000004</v>
      </c>
      <c r="N1872" s="95">
        <f>N1870+N1871</f>
        <v>26.689999999999998</v>
      </c>
    </row>
    <row r="1873" spans="2:14" x14ac:dyDescent="0.2">
      <c r="C1873" t="s">
        <v>591</v>
      </c>
      <c r="D1873">
        <v>8.56</v>
      </c>
      <c r="E1873">
        <v>7.88</v>
      </c>
      <c r="F1873">
        <v>7.88</v>
      </c>
      <c r="G1873">
        <v>4.5999999999999996</v>
      </c>
      <c r="H1873">
        <v>3.85</v>
      </c>
      <c r="I1873">
        <v>3.85</v>
      </c>
      <c r="J1873">
        <v>1.19</v>
      </c>
      <c r="K1873">
        <v>0.6</v>
      </c>
      <c r="N1873" s="92">
        <v>8.2200000000000006</v>
      </c>
    </row>
    <row r="1874" spans="2:14" x14ac:dyDescent="0.2">
      <c r="C1874" t="s">
        <v>592</v>
      </c>
      <c r="D1874">
        <v>8.56</v>
      </c>
      <c r="E1874">
        <v>7.88</v>
      </c>
      <c r="F1874">
        <v>7.88</v>
      </c>
      <c r="G1874">
        <v>4.5999999999999996</v>
      </c>
      <c r="H1874">
        <v>3.85</v>
      </c>
      <c r="I1874">
        <v>3.85</v>
      </c>
      <c r="J1874">
        <v>1.19</v>
      </c>
      <c r="K1874">
        <v>0.6</v>
      </c>
      <c r="L1874" t="s">
        <v>3</v>
      </c>
      <c r="M1874" t="s">
        <v>3</v>
      </c>
      <c r="N1874" s="92">
        <v>8.2200000000000006</v>
      </c>
    </row>
    <row r="1875" spans="2:14" x14ac:dyDescent="0.2">
      <c r="C1875" t="s">
        <v>593</v>
      </c>
      <c r="D1875" t="s">
        <v>3</v>
      </c>
      <c r="E1875" t="s">
        <v>3</v>
      </c>
      <c r="F1875" t="s">
        <v>3</v>
      </c>
      <c r="G1875" t="s">
        <v>3</v>
      </c>
      <c r="H1875" t="s">
        <v>3</v>
      </c>
      <c r="I1875" t="s">
        <v>3</v>
      </c>
      <c r="J1875" t="s">
        <v>3</v>
      </c>
      <c r="K1875" t="s">
        <v>3</v>
      </c>
      <c r="L1875" t="s">
        <v>3</v>
      </c>
      <c r="M1875" t="s">
        <v>3</v>
      </c>
      <c r="N1875" s="92" t="s">
        <v>3</v>
      </c>
    </row>
    <row r="1876" spans="2:14" x14ac:dyDescent="0.2">
      <c r="C1876" t="s">
        <v>594</v>
      </c>
      <c r="D1876">
        <v>14.39</v>
      </c>
      <c r="E1876">
        <v>11.09</v>
      </c>
      <c r="F1876">
        <v>11.06</v>
      </c>
      <c r="G1876">
        <v>6.96</v>
      </c>
      <c r="H1876">
        <v>4.83</v>
      </c>
      <c r="I1876">
        <v>2.83</v>
      </c>
      <c r="J1876">
        <v>1.1399999999999999</v>
      </c>
      <c r="K1876">
        <v>0.3</v>
      </c>
      <c r="M1876">
        <v>0</v>
      </c>
      <c r="N1876" s="92">
        <v>6.9</v>
      </c>
    </row>
    <row r="1877" spans="2:14" x14ac:dyDescent="0.2">
      <c r="C1877" t="s">
        <v>612</v>
      </c>
      <c r="D1877">
        <v>1.35</v>
      </c>
      <c r="E1877">
        <v>1.1399999999999999</v>
      </c>
      <c r="F1877">
        <v>1.1399999999999999</v>
      </c>
      <c r="G1877">
        <v>1.1399999999999999</v>
      </c>
      <c r="H1877">
        <v>1.1399999999999999</v>
      </c>
      <c r="I1877">
        <v>1.1399999999999999</v>
      </c>
      <c r="J1877">
        <v>1.1399999999999999</v>
      </c>
      <c r="K1877">
        <v>0.3</v>
      </c>
      <c r="L1877" t="s">
        <v>3</v>
      </c>
      <c r="M1877" t="s">
        <v>3</v>
      </c>
      <c r="N1877" s="92">
        <v>1.1399999999999999</v>
      </c>
    </row>
    <row r="1878" spans="2:14" x14ac:dyDescent="0.2">
      <c r="C1878" t="s">
        <v>596</v>
      </c>
      <c r="D1878">
        <v>13.04</v>
      </c>
      <c r="E1878">
        <v>9.9600000000000009</v>
      </c>
      <c r="F1878">
        <v>9.93</v>
      </c>
      <c r="G1878">
        <v>5.82</v>
      </c>
      <c r="H1878">
        <v>3.7</v>
      </c>
      <c r="I1878">
        <v>1.7</v>
      </c>
      <c r="J1878">
        <v>0</v>
      </c>
      <c r="K1878" t="s">
        <v>3</v>
      </c>
      <c r="L1878" t="s">
        <v>3</v>
      </c>
      <c r="M1878">
        <v>0</v>
      </c>
      <c r="N1878" s="92">
        <v>5.76</v>
      </c>
    </row>
    <row r="1879" spans="2:14" x14ac:dyDescent="0.2">
      <c r="C1879" s="14" t="s">
        <v>597</v>
      </c>
      <c r="D1879" s="32">
        <f>D1873-D1876</f>
        <v>-5.83</v>
      </c>
      <c r="E1879" s="32">
        <f t="shared" ref="E1879:M1879" si="860">E1873-E1876</f>
        <v>-3.21</v>
      </c>
      <c r="F1879" s="32">
        <f t="shared" si="860"/>
        <v>-3.1800000000000006</v>
      </c>
      <c r="G1879" s="32">
        <f t="shared" si="860"/>
        <v>-2.3600000000000003</v>
      </c>
      <c r="H1879" s="32">
        <f t="shared" si="860"/>
        <v>-0.98</v>
      </c>
      <c r="I1879" s="32">
        <f t="shared" si="860"/>
        <v>1.02</v>
      </c>
      <c r="J1879" s="32">
        <f t="shared" si="860"/>
        <v>5.0000000000000044E-2</v>
      </c>
      <c r="K1879" s="32">
        <f t="shared" si="860"/>
        <v>0.3</v>
      </c>
      <c r="L1879" s="32">
        <f t="shared" si="860"/>
        <v>0</v>
      </c>
      <c r="M1879" s="32">
        <f t="shared" si="860"/>
        <v>0</v>
      </c>
      <c r="N1879" s="95">
        <f>N1873-N1876</f>
        <v>1.3200000000000003</v>
      </c>
    </row>
    <row r="1880" spans="2:14" x14ac:dyDescent="0.2">
      <c r="C1880" t="s">
        <v>598</v>
      </c>
      <c r="D1880" s="20">
        <f>D1872+D1879</f>
        <v>25.550000000000004</v>
      </c>
      <c r="E1880" s="20">
        <f t="shared" ref="E1880:M1880" si="861">E1872+E1879</f>
        <v>28.979999999999997</v>
      </c>
      <c r="F1880" s="20">
        <f t="shared" si="861"/>
        <v>29.32</v>
      </c>
      <c r="G1880" s="20">
        <f t="shared" si="861"/>
        <v>28.909999999999997</v>
      </c>
      <c r="H1880" s="20">
        <f t="shared" si="861"/>
        <v>28.069999999999997</v>
      </c>
      <c r="I1880" s="20">
        <f t="shared" si="861"/>
        <v>27.37</v>
      </c>
      <c r="J1880" s="20">
        <f t="shared" si="861"/>
        <v>26.919999999999998</v>
      </c>
      <c r="K1880" s="20">
        <f t="shared" si="861"/>
        <v>26.55</v>
      </c>
      <c r="L1880" s="20">
        <f t="shared" si="861"/>
        <v>26.130000000000003</v>
      </c>
      <c r="M1880" s="20">
        <f t="shared" si="861"/>
        <v>25.660000000000004</v>
      </c>
      <c r="N1880" s="94">
        <f>N1872+N1879</f>
        <v>28.009999999999998</v>
      </c>
    </row>
    <row r="1881" spans="2:14" x14ac:dyDescent="0.2">
      <c r="N1881" s="92"/>
    </row>
    <row r="1882" spans="2:14" x14ac:dyDescent="0.2">
      <c r="C1882" t="s">
        <v>599</v>
      </c>
      <c r="D1882">
        <v>28.23</v>
      </c>
      <c r="E1882">
        <v>31.64</v>
      </c>
      <c r="F1882">
        <v>32.67</v>
      </c>
      <c r="G1882">
        <v>33.47</v>
      </c>
      <c r="H1882">
        <v>32.619999999999997</v>
      </c>
      <c r="I1882">
        <v>31.92</v>
      </c>
      <c r="J1882">
        <v>31.48</v>
      </c>
      <c r="K1882">
        <v>30.26</v>
      </c>
      <c r="L1882">
        <v>29.54</v>
      </c>
      <c r="M1882">
        <v>29.08</v>
      </c>
      <c r="N1882" s="92">
        <v>30.48</v>
      </c>
    </row>
    <row r="1883" spans="2:14" x14ac:dyDescent="0.2">
      <c r="N1883" s="92"/>
    </row>
    <row r="1884" spans="2:14" x14ac:dyDescent="0.2">
      <c r="N1884" s="92"/>
    </row>
    <row r="1885" spans="2:14" s="2" customFormat="1" ht="15" x14ac:dyDescent="0.25">
      <c r="B1885" s="2" t="s">
        <v>643</v>
      </c>
      <c r="C1885" s="9"/>
      <c r="N1885" s="96"/>
    </row>
    <row r="1886" spans="2:14" s="2" customFormat="1" ht="15" x14ac:dyDescent="0.25">
      <c r="B1886" s="2" t="s">
        <v>631</v>
      </c>
      <c r="N1886" s="96"/>
    </row>
    <row r="1887" spans="2:14" s="2" customFormat="1" ht="15" x14ac:dyDescent="0.25">
      <c r="B1887" s="13" t="s">
        <v>567</v>
      </c>
      <c r="D1887" s="2">
        <v>2000</v>
      </c>
      <c r="E1887" s="2">
        <v>2010</v>
      </c>
      <c r="F1887" s="2">
        <v>2015</v>
      </c>
      <c r="G1887" s="2">
        <v>2020</v>
      </c>
      <c r="H1887" s="2">
        <v>2025</v>
      </c>
      <c r="I1887" s="2">
        <v>2030</v>
      </c>
      <c r="J1887" s="2">
        <v>2035</v>
      </c>
      <c r="K1887" s="2">
        <v>2040</v>
      </c>
      <c r="L1887" s="2">
        <v>2045</v>
      </c>
      <c r="M1887" s="2">
        <v>2050</v>
      </c>
      <c r="N1887" s="96">
        <v>2005</v>
      </c>
    </row>
    <row r="1888" spans="2:14" x14ac:dyDescent="0.2">
      <c r="C1888" t="s">
        <v>568</v>
      </c>
      <c r="D1888">
        <v>38.380000000000003</v>
      </c>
      <c r="E1888">
        <v>35.42</v>
      </c>
      <c r="F1888">
        <v>39</v>
      </c>
      <c r="G1888">
        <v>41.96</v>
      </c>
      <c r="H1888">
        <v>42.35</v>
      </c>
      <c r="I1888">
        <v>42.67</v>
      </c>
      <c r="J1888">
        <v>43.02</v>
      </c>
      <c r="K1888">
        <v>43.44</v>
      </c>
      <c r="L1888">
        <v>43.82</v>
      </c>
      <c r="M1888">
        <v>44.15</v>
      </c>
      <c r="N1888" s="92">
        <v>34.340000000000003</v>
      </c>
    </row>
    <row r="1889" spans="3:14" x14ac:dyDescent="0.2">
      <c r="C1889" t="s">
        <v>633</v>
      </c>
      <c r="D1889">
        <v>38.380000000000003</v>
      </c>
      <c r="E1889">
        <v>35.42</v>
      </c>
      <c r="F1889">
        <v>36.950000000000003</v>
      </c>
      <c r="G1889">
        <v>36.869999999999997</v>
      </c>
      <c r="H1889">
        <v>36.83</v>
      </c>
      <c r="I1889">
        <v>36.75</v>
      </c>
      <c r="J1889">
        <v>36.54</v>
      </c>
      <c r="K1889">
        <v>36.409999999999997</v>
      </c>
      <c r="L1889">
        <v>35.85</v>
      </c>
      <c r="M1889">
        <v>35.57</v>
      </c>
      <c r="N1889" s="92">
        <v>34.340000000000003</v>
      </c>
    </row>
    <row r="1890" spans="3:14" x14ac:dyDescent="0.2">
      <c r="C1890" t="s">
        <v>603</v>
      </c>
      <c r="D1890" t="s">
        <v>3</v>
      </c>
      <c r="E1890" t="s">
        <v>3</v>
      </c>
      <c r="F1890">
        <v>2.0499999999999998</v>
      </c>
      <c r="G1890">
        <v>5.09</v>
      </c>
      <c r="H1890">
        <v>5.52</v>
      </c>
      <c r="I1890">
        <v>5.91</v>
      </c>
      <c r="J1890">
        <v>6.48</v>
      </c>
      <c r="K1890">
        <v>7.02</v>
      </c>
      <c r="L1890">
        <v>7.96</v>
      </c>
      <c r="M1890">
        <v>8.57</v>
      </c>
      <c r="N1890" s="92" t="s">
        <v>3</v>
      </c>
    </row>
    <row r="1891" spans="3:14" x14ac:dyDescent="0.2">
      <c r="C1891" t="s">
        <v>571</v>
      </c>
      <c r="D1891">
        <v>24.73</v>
      </c>
      <c r="E1891">
        <v>25.13</v>
      </c>
      <c r="F1891">
        <v>24.58</v>
      </c>
      <c r="G1891">
        <v>21.68</v>
      </c>
      <c r="H1891">
        <v>15.98</v>
      </c>
      <c r="I1891">
        <v>8.81</v>
      </c>
      <c r="J1891">
        <v>0</v>
      </c>
      <c r="K1891">
        <v>0</v>
      </c>
      <c r="L1891">
        <v>0</v>
      </c>
      <c r="M1891">
        <v>0</v>
      </c>
      <c r="N1891" s="92">
        <v>21.9</v>
      </c>
    </row>
    <row r="1892" spans="3:14" x14ac:dyDescent="0.2">
      <c r="C1892" t="s">
        <v>604</v>
      </c>
      <c r="D1892">
        <v>1.79</v>
      </c>
      <c r="E1892">
        <v>2.1800000000000002</v>
      </c>
      <c r="F1892">
        <v>2.7</v>
      </c>
      <c r="G1892">
        <v>3.13</v>
      </c>
      <c r="H1892">
        <v>4.88</v>
      </c>
      <c r="I1892">
        <v>6.71</v>
      </c>
      <c r="J1892">
        <v>12.7</v>
      </c>
      <c r="K1892">
        <v>10.27</v>
      </c>
      <c r="L1892">
        <v>8.2200000000000006</v>
      </c>
      <c r="M1892">
        <v>6</v>
      </c>
      <c r="N1892" s="92">
        <v>2.0699999999999998</v>
      </c>
    </row>
    <row r="1893" spans="3:14" x14ac:dyDescent="0.2">
      <c r="C1893" t="s">
        <v>605</v>
      </c>
      <c r="D1893">
        <v>1.79</v>
      </c>
      <c r="E1893">
        <v>2.1800000000000002</v>
      </c>
      <c r="F1893">
        <v>1.76</v>
      </c>
      <c r="G1893">
        <v>1.48</v>
      </c>
      <c r="H1893">
        <v>0.92</v>
      </c>
      <c r="I1893">
        <v>0.57999999999999996</v>
      </c>
      <c r="J1893">
        <v>0.32</v>
      </c>
      <c r="K1893" t="s">
        <v>572</v>
      </c>
      <c r="L1893" t="s">
        <v>3</v>
      </c>
      <c r="M1893" t="s">
        <v>3</v>
      </c>
      <c r="N1893" s="92">
        <v>2.0699999999999998</v>
      </c>
    </row>
    <row r="1894" spans="3:14" x14ac:dyDescent="0.2">
      <c r="C1894" t="s">
        <v>606</v>
      </c>
      <c r="D1894" t="s">
        <v>572</v>
      </c>
      <c r="E1894" t="s">
        <v>3</v>
      </c>
      <c r="F1894" t="s">
        <v>3</v>
      </c>
      <c r="G1894" t="s">
        <v>3</v>
      </c>
      <c r="H1894">
        <v>1.49</v>
      </c>
      <c r="I1894">
        <v>3.09</v>
      </c>
      <c r="J1894">
        <v>9.1300000000000008</v>
      </c>
      <c r="K1894">
        <v>6.83</v>
      </c>
      <c r="L1894">
        <v>4.7699999999999996</v>
      </c>
      <c r="M1894">
        <v>2.5499999999999998</v>
      </c>
      <c r="N1894" s="92" t="s">
        <v>572</v>
      </c>
    </row>
    <row r="1895" spans="3:14" x14ac:dyDescent="0.2">
      <c r="C1895" t="s">
        <v>607</v>
      </c>
      <c r="D1895" t="s">
        <v>3</v>
      </c>
      <c r="E1895" t="s">
        <v>3</v>
      </c>
      <c r="F1895">
        <v>0.94</v>
      </c>
      <c r="G1895">
        <v>1.65</v>
      </c>
      <c r="H1895">
        <v>2.4700000000000002</v>
      </c>
      <c r="I1895">
        <v>3.04</v>
      </c>
      <c r="J1895">
        <v>3.26</v>
      </c>
      <c r="K1895">
        <v>3.44</v>
      </c>
      <c r="L1895">
        <v>3.45</v>
      </c>
      <c r="M1895">
        <v>3.45</v>
      </c>
      <c r="N1895" s="92" t="s">
        <v>3</v>
      </c>
    </row>
    <row r="1896" spans="3:14" x14ac:dyDescent="0.2">
      <c r="C1896" t="s">
        <v>608</v>
      </c>
      <c r="D1896">
        <v>0.81</v>
      </c>
      <c r="E1896">
        <v>1.38</v>
      </c>
      <c r="F1896">
        <v>2.36</v>
      </c>
      <c r="G1896">
        <v>3.68</v>
      </c>
      <c r="H1896">
        <v>5.66</v>
      </c>
      <c r="I1896">
        <v>8.24</v>
      </c>
      <c r="J1896">
        <v>11.94</v>
      </c>
      <c r="K1896">
        <v>16.149999999999999</v>
      </c>
      <c r="L1896">
        <v>20.57</v>
      </c>
      <c r="M1896">
        <v>24.22</v>
      </c>
      <c r="N1896" s="92">
        <v>1.01</v>
      </c>
    </row>
    <row r="1897" spans="3:14" x14ac:dyDescent="0.2">
      <c r="C1897" t="s">
        <v>609</v>
      </c>
      <c r="D1897">
        <v>0.81</v>
      </c>
      <c r="E1897">
        <v>1.38</v>
      </c>
      <c r="F1897">
        <v>1.03</v>
      </c>
      <c r="G1897">
        <v>0.92</v>
      </c>
      <c r="H1897">
        <v>0.7</v>
      </c>
      <c r="I1897">
        <v>0.4</v>
      </c>
      <c r="J1897">
        <v>0.1</v>
      </c>
      <c r="K1897">
        <v>0.01</v>
      </c>
      <c r="L1897" t="s">
        <v>3</v>
      </c>
      <c r="M1897" t="s">
        <v>3</v>
      </c>
      <c r="N1897" s="92">
        <v>1.01</v>
      </c>
    </row>
    <row r="1898" spans="3:14" x14ac:dyDescent="0.2">
      <c r="C1898" t="s">
        <v>610</v>
      </c>
      <c r="D1898" t="s">
        <v>572</v>
      </c>
      <c r="E1898" t="s">
        <v>3</v>
      </c>
      <c r="F1898">
        <v>1.34</v>
      </c>
      <c r="G1898">
        <v>2.77</v>
      </c>
      <c r="H1898">
        <v>4.95</v>
      </c>
      <c r="I1898">
        <v>7.84</v>
      </c>
      <c r="J1898">
        <v>11.84</v>
      </c>
      <c r="K1898">
        <v>16.14</v>
      </c>
      <c r="L1898">
        <v>20.57</v>
      </c>
      <c r="M1898">
        <v>24.22</v>
      </c>
      <c r="N1898" s="92" t="s">
        <v>3</v>
      </c>
    </row>
    <row r="1899" spans="3:14" x14ac:dyDescent="0.2">
      <c r="C1899" t="s">
        <v>580</v>
      </c>
      <c r="D1899">
        <v>0.01</v>
      </c>
      <c r="E1899">
        <v>0.08</v>
      </c>
      <c r="F1899">
        <v>0.28000000000000003</v>
      </c>
      <c r="G1899">
        <v>0.52</v>
      </c>
      <c r="H1899">
        <v>0.98</v>
      </c>
      <c r="I1899">
        <v>1.91</v>
      </c>
      <c r="J1899">
        <v>4.4400000000000004</v>
      </c>
      <c r="K1899">
        <v>6.74</v>
      </c>
      <c r="L1899">
        <v>9.23</v>
      </c>
      <c r="M1899">
        <v>11.12</v>
      </c>
      <c r="N1899" s="92">
        <v>0.02</v>
      </c>
    </row>
    <row r="1900" spans="3:14" x14ac:dyDescent="0.2">
      <c r="C1900" t="s">
        <v>581</v>
      </c>
      <c r="D1900">
        <v>0</v>
      </c>
      <c r="E1900">
        <v>0.04</v>
      </c>
      <c r="F1900">
        <v>0.35</v>
      </c>
      <c r="G1900">
        <v>0.66</v>
      </c>
      <c r="H1900">
        <v>0.99</v>
      </c>
      <c r="I1900">
        <v>1.46</v>
      </c>
      <c r="J1900">
        <v>1.76</v>
      </c>
      <c r="K1900">
        <v>2.59</v>
      </c>
      <c r="L1900">
        <v>3.43</v>
      </c>
      <c r="M1900">
        <v>4.26</v>
      </c>
      <c r="N1900" s="92">
        <v>0.01</v>
      </c>
    </row>
    <row r="1901" spans="3:14" x14ac:dyDescent="0.2">
      <c r="C1901" t="s">
        <v>582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 s="92">
        <v>0</v>
      </c>
    </row>
    <row r="1902" spans="3:14" x14ac:dyDescent="0.2">
      <c r="C1902" t="s">
        <v>47</v>
      </c>
      <c r="D1902" t="s">
        <v>572</v>
      </c>
      <c r="E1902" t="s">
        <v>3</v>
      </c>
      <c r="F1902">
        <v>0.1</v>
      </c>
      <c r="G1902">
        <v>0.2</v>
      </c>
      <c r="H1902">
        <v>0.39</v>
      </c>
      <c r="I1902">
        <v>0.78</v>
      </c>
      <c r="J1902">
        <v>1.43</v>
      </c>
      <c r="K1902">
        <v>2.41</v>
      </c>
      <c r="L1902">
        <v>3.48</v>
      </c>
      <c r="M1902">
        <v>4.3899999999999997</v>
      </c>
      <c r="N1902" s="92" t="s">
        <v>572</v>
      </c>
    </row>
    <row r="1903" spans="3:14" x14ac:dyDescent="0.2">
      <c r="C1903" t="s">
        <v>583</v>
      </c>
      <c r="D1903">
        <v>0.01</v>
      </c>
      <c r="E1903">
        <v>0.14000000000000001</v>
      </c>
      <c r="F1903">
        <v>0.33</v>
      </c>
      <c r="G1903">
        <v>0.6</v>
      </c>
      <c r="H1903">
        <v>0.97</v>
      </c>
      <c r="I1903">
        <v>1.21</v>
      </c>
      <c r="J1903">
        <v>1.21</v>
      </c>
      <c r="K1903">
        <v>1.23</v>
      </c>
      <c r="L1903">
        <v>1.23</v>
      </c>
      <c r="M1903">
        <v>1.24</v>
      </c>
      <c r="N1903" s="92">
        <v>0.03</v>
      </c>
    </row>
    <row r="1904" spans="3:14" x14ac:dyDescent="0.2">
      <c r="C1904" t="s">
        <v>584</v>
      </c>
      <c r="D1904">
        <v>0.01</v>
      </c>
      <c r="E1904">
        <v>0.08</v>
      </c>
      <c r="F1904">
        <v>0.21</v>
      </c>
      <c r="G1904">
        <v>0.46</v>
      </c>
      <c r="H1904">
        <v>0.88</v>
      </c>
      <c r="I1904">
        <v>1.29</v>
      </c>
      <c r="J1904">
        <v>1.48</v>
      </c>
      <c r="K1904">
        <v>1.55</v>
      </c>
      <c r="L1904">
        <v>1.58</v>
      </c>
      <c r="M1904">
        <v>1.58</v>
      </c>
      <c r="N1904" s="92">
        <v>0.02</v>
      </c>
    </row>
    <row r="1905" spans="3:14" x14ac:dyDescent="0.2">
      <c r="C1905" t="s">
        <v>585</v>
      </c>
      <c r="D1905">
        <v>0.09</v>
      </c>
      <c r="E1905">
        <v>0.12</v>
      </c>
      <c r="F1905">
        <v>0.1</v>
      </c>
      <c r="G1905">
        <v>0.16</v>
      </c>
      <c r="H1905">
        <v>0.22</v>
      </c>
      <c r="I1905">
        <v>0.27</v>
      </c>
      <c r="J1905">
        <v>0.28999999999999998</v>
      </c>
      <c r="K1905">
        <v>0.28999999999999998</v>
      </c>
      <c r="L1905">
        <v>0.3</v>
      </c>
      <c r="M1905">
        <v>0.3</v>
      </c>
      <c r="N1905" s="92">
        <v>0.11</v>
      </c>
    </row>
    <row r="1906" spans="3:14" x14ac:dyDescent="0.2">
      <c r="C1906" t="s">
        <v>586</v>
      </c>
      <c r="D1906">
        <v>0.63</v>
      </c>
      <c r="E1906">
        <v>0.92</v>
      </c>
      <c r="F1906">
        <v>0.99</v>
      </c>
      <c r="G1906">
        <v>1.1000000000000001</v>
      </c>
      <c r="H1906">
        <v>1.23</v>
      </c>
      <c r="I1906">
        <v>1.32</v>
      </c>
      <c r="J1906">
        <v>1.32</v>
      </c>
      <c r="K1906">
        <v>1.33</v>
      </c>
      <c r="L1906">
        <v>1.33</v>
      </c>
      <c r="M1906">
        <v>1.33</v>
      </c>
      <c r="N1906" s="92">
        <v>0.8</v>
      </c>
    </row>
    <row r="1907" spans="3:14" x14ac:dyDescent="0.2">
      <c r="C1907" t="s">
        <v>587</v>
      </c>
      <c r="D1907">
        <v>0.04</v>
      </c>
      <c r="E1907">
        <v>0</v>
      </c>
      <c r="F1907">
        <v>0.01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 s="92">
        <v>0.02</v>
      </c>
    </row>
    <row r="1908" spans="3:14" x14ac:dyDescent="0.2">
      <c r="C1908" t="s">
        <v>588</v>
      </c>
      <c r="D1908" s="20">
        <f t="shared" ref="D1908:I1908" si="862">D1888+D1891+D1892+D1896</f>
        <v>65.710000000000008</v>
      </c>
      <c r="E1908" s="20">
        <f t="shared" si="862"/>
        <v>64.11</v>
      </c>
      <c r="F1908" s="20">
        <f t="shared" si="862"/>
        <v>68.64</v>
      </c>
      <c r="G1908" s="20">
        <f t="shared" si="862"/>
        <v>70.45</v>
      </c>
      <c r="H1908" s="20">
        <f t="shared" si="862"/>
        <v>68.87</v>
      </c>
      <c r="I1908" s="20">
        <f t="shared" si="862"/>
        <v>66.430000000000007</v>
      </c>
      <c r="J1908" s="20">
        <f>J1888+J1892+J1896</f>
        <v>67.66</v>
      </c>
      <c r="K1908" s="20">
        <f>K1888+K1892+K1896</f>
        <v>69.859999999999985</v>
      </c>
      <c r="L1908" s="20">
        <f>L1888+L1892+L1896</f>
        <v>72.61</v>
      </c>
      <c r="M1908" s="20">
        <f>M1888+M1892+M1896</f>
        <v>74.37</v>
      </c>
      <c r="N1908" s="94">
        <f>N1888+N1891+N1892+N1896</f>
        <v>59.32</v>
      </c>
    </row>
    <row r="1909" spans="3:14" x14ac:dyDescent="0.2">
      <c r="C1909" t="s">
        <v>589</v>
      </c>
      <c r="D1909">
        <v>-2.2200000000000002</v>
      </c>
      <c r="E1909">
        <v>-2.56</v>
      </c>
      <c r="F1909">
        <v>-4.34</v>
      </c>
      <c r="G1909">
        <v>-7.54</v>
      </c>
      <c r="H1909">
        <v>-7.54</v>
      </c>
      <c r="I1909">
        <v>-7.54</v>
      </c>
      <c r="J1909">
        <v>-7.54</v>
      </c>
      <c r="K1909">
        <v>-7.54</v>
      </c>
      <c r="L1909">
        <v>-7.54</v>
      </c>
      <c r="M1909">
        <v>-7.54</v>
      </c>
      <c r="N1909" s="92">
        <v>-2.2200000000000002</v>
      </c>
    </row>
    <row r="1910" spans="3:14" x14ac:dyDescent="0.2">
      <c r="C1910" s="14" t="s">
        <v>590</v>
      </c>
      <c r="D1910" s="32">
        <f>D1908+D1909</f>
        <v>63.490000000000009</v>
      </c>
      <c r="E1910" s="32">
        <f t="shared" ref="E1910:M1910" si="863">E1908+E1909</f>
        <v>61.55</v>
      </c>
      <c r="F1910" s="32">
        <f t="shared" si="863"/>
        <v>64.3</v>
      </c>
      <c r="G1910" s="32">
        <f t="shared" si="863"/>
        <v>62.910000000000004</v>
      </c>
      <c r="H1910" s="32">
        <f t="shared" si="863"/>
        <v>61.330000000000005</v>
      </c>
      <c r="I1910" s="32">
        <f t="shared" si="863"/>
        <v>58.890000000000008</v>
      </c>
      <c r="J1910" s="32">
        <f t="shared" si="863"/>
        <v>60.12</v>
      </c>
      <c r="K1910" s="32">
        <f t="shared" si="863"/>
        <v>62.319999999999986</v>
      </c>
      <c r="L1910" s="32">
        <f t="shared" si="863"/>
        <v>65.069999999999993</v>
      </c>
      <c r="M1910" s="32">
        <f t="shared" si="863"/>
        <v>66.83</v>
      </c>
      <c r="N1910" s="95">
        <f>N1908+N1909</f>
        <v>57.1</v>
      </c>
    </row>
    <row r="1911" spans="3:14" x14ac:dyDescent="0.2">
      <c r="C1911" t="s">
        <v>591</v>
      </c>
      <c r="D1911">
        <v>18.72</v>
      </c>
      <c r="E1911">
        <v>17.239999999999998</v>
      </c>
      <c r="F1911">
        <v>17.239999999999998</v>
      </c>
      <c r="G1911">
        <v>10.06</v>
      </c>
      <c r="H1911">
        <v>8.42</v>
      </c>
      <c r="I1911">
        <v>8.42</v>
      </c>
      <c r="J1911">
        <v>2.61</v>
      </c>
      <c r="K1911">
        <v>1.3</v>
      </c>
      <c r="N1911" s="92">
        <v>17.98</v>
      </c>
    </row>
    <row r="1912" spans="3:14" x14ac:dyDescent="0.2">
      <c r="C1912" t="s">
        <v>592</v>
      </c>
      <c r="D1912">
        <v>18.72</v>
      </c>
      <c r="E1912">
        <v>17.239999999999998</v>
      </c>
      <c r="F1912">
        <v>17.239999999999998</v>
      </c>
      <c r="G1912">
        <v>10.06</v>
      </c>
      <c r="H1912">
        <v>8.42</v>
      </c>
      <c r="I1912">
        <v>8.42</v>
      </c>
      <c r="J1912">
        <v>2.61</v>
      </c>
      <c r="K1912">
        <v>1.3</v>
      </c>
      <c r="L1912" t="s">
        <v>3</v>
      </c>
      <c r="M1912" t="s">
        <v>3</v>
      </c>
      <c r="N1912" s="92">
        <v>17.98</v>
      </c>
    </row>
    <row r="1913" spans="3:14" x14ac:dyDescent="0.2">
      <c r="C1913" t="s">
        <v>593</v>
      </c>
      <c r="D1913" t="s">
        <v>572</v>
      </c>
      <c r="E1913" t="s">
        <v>3</v>
      </c>
      <c r="F1913" t="s">
        <v>3</v>
      </c>
      <c r="G1913" t="s">
        <v>3</v>
      </c>
      <c r="H1913" t="s">
        <v>3</v>
      </c>
      <c r="I1913" t="s">
        <v>572</v>
      </c>
      <c r="J1913" t="s">
        <v>3</v>
      </c>
      <c r="K1913" t="s">
        <v>3</v>
      </c>
      <c r="L1913" t="s">
        <v>3</v>
      </c>
      <c r="M1913" t="s">
        <v>3</v>
      </c>
      <c r="N1913" s="92" t="s">
        <v>3</v>
      </c>
    </row>
    <row r="1914" spans="3:14" x14ac:dyDescent="0.2">
      <c r="C1914" t="s">
        <v>594</v>
      </c>
      <c r="D1914">
        <v>26.07</v>
      </c>
      <c r="E1914">
        <v>15.19</v>
      </c>
      <c r="F1914">
        <v>16.989999999999998</v>
      </c>
      <c r="G1914">
        <v>9.17</v>
      </c>
      <c r="H1914">
        <v>7.65</v>
      </c>
      <c r="I1914">
        <v>6.58</v>
      </c>
      <c r="J1914">
        <v>2.82</v>
      </c>
      <c r="K1914">
        <v>4.4000000000000004</v>
      </c>
      <c r="L1914">
        <v>6.63</v>
      </c>
      <c r="M1914">
        <v>9.27</v>
      </c>
      <c r="N1914" s="92">
        <v>13.75</v>
      </c>
    </row>
    <row r="1915" spans="3:14" x14ac:dyDescent="0.2">
      <c r="C1915" t="s">
        <v>612</v>
      </c>
      <c r="D1915">
        <v>2.83</v>
      </c>
      <c r="E1915">
        <v>2.2599999999999998</v>
      </c>
      <c r="F1915">
        <v>2.2599999999999998</v>
      </c>
      <c r="G1915">
        <v>2.2599999999999998</v>
      </c>
      <c r="H1915">
        <v>2.2599999999999998</v>
      </c>
      <c r="I1915">
        <v>2.2599999999999998</v>
      </c>
      <c r="J1915">
        <v>2.2599999999999998</v>
      </c>
      <c r="K1915">
        <v>0.66</v>
      </c>
      <c r="L1915" t="s">
        <v>572</v>
      </c>
      <c r="M1915" t="s">
        <v>3</v>
      </c>
      <c r="N1915" s="92">
        <v>2.2599999999999998</v>
      </c>
    </row>
    <row r="1916" spans="3:14" x14ac:dyDescent="0.2">
      <c r="C1916" t="s">
        <v>596</v>
      </c>
      <c r="D1916">
        <v>23.24</v>
      </c>
      <c r="E1916">
        <v>12.93</v>
      </c>
      <c r="F1916">
        <v>14.73</v>
      </c>
      <c r="G1916">
        <v>6.91</v>
      </c>
      <c r="H1916">
        <v>5.39</v>
      </c>
      <c r="I1916">
        <v>4.32</v>
      </c>
      <c r="J1916">
        <v>0.56000000000000005</v>
      </c>
      <c r="K1916">
        <v>3.74</v>
      </c>
      <c r="L1916">
        <v>6.63</v>
      </c>
      <c r="M1916">
        <v>9.27</v>
      </c>
      <c r="N1916" s="92">
        <v>11.49</v>
      </c>
    </row>
    <row r="1917" spans="3:14" x14ac:dyDescent="0.2">
      <c r="C1917" s="14" t="s">
        <v>597</v>
      </c>
      <c r="D1917" s="32">
        <f>D1911-D1914</f>
        <v>-7.3500000000000014</v>
      </c>
      <c r="E1917" s="32">
        <f t="shared" ref="E1917:M1917" si="864">E1911-E1914</f>
        <v>2.0499999999999989</v>
      </c>
      <c r="F1917" s="32">
        <f t="shared" si="864"/>
        <v>0.25</v>
      </c>
      <c r="G1917" s="32">
        <f t="shared" si="864"/>
        <v>0.89000000000000057</v>
      </c>
      <c r="H1917" s="32">
        <f t="shared" si="864"/>
        <v>0.76999999999999957</v>
      </c>
      <c r="I1917" s="32">
        <f t="shared" si="864"/>
        <v>1.8399999999999999</v>
      </c>
      <c r="J1917" s="32">
        <f t="shared" si="864"/>
        <v>-0.20999999999999996</v>
      </c>
      <c r="K1917" s="32">
        <f t="shared" si="864"/>
        <v>-3.1000000000000005</v>
      </c>
      <c r="L1917" s="32">
        <f t="shared" si="864"/>
        <v>-6.63</v>
      </c>
      <c r="M1917" s="32">
        <f t="shared" si="864"/>
        <v>-9.27</v>
      </c>
      <c r="N1917" s="95">
        <f>N1911-N1914</f>
        <v>4.2300000000000004</v>
      </c>
    </row>
    <row r="1918" spans="3:14" x14ac:dyDescent="0.2">
      <c r="C1918" t="s">
        <v>598</v>
      </c>
      <c r="D1918" s="20">
        <f>D1910+D1917</f>
        <v>56.140000000000008</v>
      </c>
      <c r="E1918" s="20">
        <f t="shared" ref="E1918:M1918" si="865">E1910+E1917</f>
        <v>63.599999999999994</v>
      </c>
      <c r="F1918" s="20">
        <f t="shared" si="865"/>
        <v>64.55</v>
      </c>
      <c r="G1918" s="20">
        <f t="shared" si="865"/>
        <v>63.800000000000004</v>
      </c>
      <c r="H1918" s="20">
        <f t="shared" si="865"/>
        <v>62.100000000000009</v>
      </c>
      <c r="I1918" s="20">
        <f t="shared" si="865"/>
        <v>60.730000000000004</v>
      </c>
      <c r="J1918" s="20">
        <f t="shared" si="865"/>
        <v>59.91</v>
      </c>
      <c r="K1918" s="20">
        <f t="shared" si="865"/>
        <v>59.219999999999985</v>
      </c>
      <c r="L1918" s="20">
        <f t="shared" si="865"/>
        <v>58.439999999999991</v>
      </c>
      <c r="M1918" s="20">
        <f t="shared" si="865"/>
        <v>57.56</v>
      </c>
      <c r="N1918" s="94">
        <f>N1910+N1917</f>
        <v>61.33</v>
      </c>
    </row>
    <row r="1919" spans="3:14" x14ac:dyDescent="0.2">
      <c r="N1919" s="92"/>
    </row>
    <row r="1920" spans="3:14" x14ac:dyDescent="0.2">
      <c r="C1920" t="s">
        <v>599</v>
      </c>
      <c r="D1920">
        <v>61.18</v>
      </c>
      <c r="E1920">
        <v>68.41</v>
      </c>
      <c r="F1920">
        <v>71.14</v>
      </c>
      <c r="G1920">
        <v>73.61</v>
      </c>
      <c r="H1920">
        <v>71.900000000000006</v>
      </c>
      <c r="I1920">
        <v>70.52</v>
      </c>
      <c r="J1920">
        <v>69.709999999999994</v>
      </c>
      <c r="K1920">
        <v>67.42</v>
      </c>
      <c r="L1920">
        <v>65.98</v>
      </c>
      <c r="M1920">
        <v>65.099999999999994</v>
      </c>
      <c r="N1920" s="92">
        <v>65.81</v>
      </c>
    </row>
    <row r="1921" spans="2:14" x14ac:dyDescent="0.2">
      <c r="N1921" s="92"/>
    </row>
    <row r="1922" spans="2:14" s="13" customFormat="1" x14ac:dyDescent="0.2">
      <c r="N1922" s="97"/>
    </row>
    <row r="1923" spans="2:14" s="2" customFormat="1" ht="15" x14ac:dyDescent="0.25">
      <c r="B1923" s="2" t="s">
        <v>643</v>
      </c>
      <c r="C1923" s="9"/>
      <c r="N1923" s="96"/>
    </row>
    <row r="1924" spans="2:14" s="2" customFormat="1" ht="15" x14ac:dyDescent="0.25">
      <c r="B1924" s="2" t="s">
        <v>600</v>
      </c>
      <c r="N1924" s="96"/>
    </row>
    <row r="1925" spans="2:14" s="2" customFormat="1" ht="15" x14ac:dyDescent="0.25">
      <c r="B1925" s="13" t="s">
        <v>601</v>
      </c>
      <c r="D1925" s="2">
        <v>2000</v>
      </c>
      <c r="E1925" s="2">
        <v>2010</v>
      </c>
      <c r="F1925" s="2">
        <v>2015</v>
      </c>
      <c r="G1925" s="2">
        <v>2020</v>
      </c>
      <c r="H1925" s="2">
        <v>2025</v>
      </c>
      <c r="I1925" s="2">
        <v>2030</v>
      </c>
      <c r="J1925" s="2">
        <v>2035</v>
      </c>
      <c r="K1925" s="2">
        <v>2040</v>
      </c>
      <c r="L1925" s="2">
        <v>2045</v>
      </c>
      <c r="M1925" s="2">
        <v>2050</v>
      </c>
      <c r="N1925" s="96">
        <v>2005</v>
      </c>
    </row>
    <row r="1926" spans="2:14" x14ac:dyDescent="0.2">
      <c r="C1926" t="s">
        <v>568</v>
      </c>
      <c r="D1926">
        <v>17.71</v>
      </c>
      <c r="E1926">
        <v>14.16</v>
      </c>
      <c r="F1926">
        <v>17.079999999999998</v>
      </c>
      <c r="G1926">
        <v>18.98</v>
      </c>
      <c r="H1926">
        <v>19.3</v>
      </c>
      <c r="I1926">
        <v>19.59</v>
      </c>
      <c r="J1926">
        <v>19.89</v>
      </c>
      <c r="K1926">
        <v>20.22</v>
      </c>
      <c r="L1926">
        <v>20.53</v>
      </c>
      <c r="M1926">
        <v>20.86</v>
      </c>
      <c r="N1926" s="92">
        <v>15.56</v>
      </c>
    </row>
    <row r="1927" spans="2:14" x14ac:dyDescent="0.2">
      <c r="C1927" t="s">
        <v>633</v>
      </c>
      <c r="D1927">
        <v>17.71</v>
      </c>
      <c r="E1927">
        <v>14.16</v>
      </c>
      <c r="F1927">
        <v>15.95</v>
      </c>
      <c r="G1927">
        <v>16.09</v>
      </c>
      <c r="H1927">
        <v>16.239999999999998</v>
      </c>
      <c r="I1927">
        <v>16.39</v>
      </c>
      <c r="J1927">
        <v>16.47</v>
      </c>
      <c r="K1927">
        <v>16.59</v>
      </c>
      <c r="L1927">
        <v>16.53</v>
      </c>
      <c r="M1927">
        <v>16.63</v>
      </c>
      <c r="N1927" s="92">
        <v>15.56</v>
      </c>
    </row>
    <row r="1928" spans="2:14" x14ac:dyDescent="0.2">
      <c r="C1928" t="s">
        <v>603</v>
      </c>
      <c r="D1928" t="s">
        <v>572</v>
      </c>
      <c r="E1928" t="s">
        <v>3</v>
      </c>
      <c r="F1928">
        <v>1.1299999999999999</v>
      </c>
      <c r="G1928">
        <v>2.89</v>
      </c>
      <c r="H1928">
        <v>3.05</v>
      </c>
      <c r="I1928">
        <v>3.2</v>
      </c>
      <c r="J1928">
        <v>3.42</v>
      </c>
      <c r="K1928">
        <v>3.62</v>
      </c>
      <c r="L1928">
        <v>4</v>
      </c>
      <c r="M1928">
        <v>4.2300000000000004</v>
      </c>
      <c r="N1928" s="92" t="s">
        <v>572</v>
      </c>
    </row>
    <row r="1929" spans="2:14" x14ac:dyDescent="0.2">
      <c r="C1929" t="s">
        <v>571</v>
      </c>
      <c r="D1929">
        <v>13.72</v>
      </c>
      <c r="E1929">
        <v>14.17</v>
      </c>
      <c r="F1929">
        <v>13.5</v>
      </c>
      <c r="G1929">
        <v>11.91</v>
      </c>
      <c r="H1929">
        <v>8.7799999999999994</v>
      </c>
      <c r="I1929">
        <v>4.84</v>
      </c>
      <c r="J1929">
        <v>0</v>
      </c>
      <c r="K1929">
        <v>0</v>
      </c>
      <c r="L1929">
        <v>0</v>
      </c>
      <c r="M1929">
        <v>0</v>
      </c>
      <c r="N1929" s="92">
        <v>13.94</v>
      </c>
    </row>
    <row r="1930" spans="2:14" x14ac:dyDescent="0.2">
      <c r="C1930" t="s">
        <v>604</v>
      </c>
      <c r="D1930">
        <v>1.1100000000000001</v>
      </c>
      <c r="E1930">
        <v>1.3</v>
      </c>
      <c r="F1930">
        <v>1.63</v>
      </c>
      <c r="G1930">
        <v>1.9</v>
      </c>
      <c r="H1930">
        <v>3.57</v>
      </c>
      <c r="I1930">
        <v>5.33</v>
      </c>
      <c r="J1930">
        <v>11.33</v>
      </c>
      <c r="K1930">
        <v>8.9700000000000006</v>
      </c>
      <c r="L1930">
        <v>6.91</v>
      </c>
      <c r="M1930">
        <v>4.6900000000000004</v>
      </c>
      <c r="N1930" s="92">
        <v>1.25</v>
      </c>
    </row>
    <row r="1931" spans="2:14" x14ac:dyDescent="0.2">
      <c r="C1931" t="s">
        <v>605</v>
      </c>
      <c r="D1931">
        <v>1.1100000000000001</v>
      </c>
      <c r="E1931">
        <v>1.3</v>
      </c>
      <c r="F1931">
        <v>1.05</v>
      </c>
      <c r="G1931">
        <v>0.86</v>
      </c>
      <c r="H1931">
        <v>0.53</v>
      </c>
      <c r="I1931">
        <v>0.34</v>
      </c>
      <c r="J1931">
        <v>0.18</v>
      </c>
      <c r="K1931" t="s">
        <v>572</v>
      </c>
      <c r="L1931" t="s">
        <v>3</v>
      </c>
      <c r="M1931" t="s">
        <v>3</v>
      </c>
      <c r="N1931" s="92">
        <v>1.25</v>
      </c>
    </row>
    <row r="1932" spans="2:14" x14ac:dyDescent="0.2">
      <c r="C1932" t="s">
        <v>606</v>
      </c>
      <c r="D1932" t="s">
        <v>3</v>
      </c>
      <c r="E1932" t="s">
        <v>3</v>
      </c>
      <c r="F1932" t="s">
        <v>3</v>
      </c>
      <c r="G1932" t="s">
        <v>3</v>
      </c>
      <c r="H1932">
        <v>1.49</v>
      </c>
      <c r="I1932">
        <v>3.09</v>
      </c>
      <c r="J1932">
        <v>9.1300000000000008</v>
      </c>
      <c r="K1932">
        <v>6.83</v>
      </c>
      <c r="L1932">
        <v>4.7699999999999996</v>
      </c>
      <c r="M1932">
        <v>2.5499999999999998</v>
      </c>
      <c r="N1932" s="92" t="s">
        <v>3</v>
      </c>
    </row>
    <row r="1933" spans="2:14" x14ac:dyDescent="0.2">
      <c r="C1933" t="s">
        <v>607</v>
      </c>
      <c r="D1933" t="s">
        <v>3</v>
      </c>
      <c r="E1933" t="s">
        <v>3</v>
      </c>
      <c r="F1933">
        <v>0.57999999999999996</v>
      </c>
      <c r="G1933">
        <v>1.04</v>
      </c>
      <c r="H1933">
        <v>1.55</v>
      </c>
      <c r="I1933">
        <v>1.9</v>
      </c>
      <c r="J1933">
        <v>2.0299999999999998</v>
      </c>
      <c r="K1933">
        <v>2.13</v>
      </c>
      <c r="L1933">
        <v>2.14</v>
      </c>
      <c r="M1933">
        <v>2.14</v>
      </c>
      <c r="N1933" s="92" t="s">
        <v>3</v>
      </c>
    </row>
    <row r="1934" spans="2:14" x14ac:dyDescent="0.2">
      <c r="C1934" t="s">
        <v>608</v>
      </c>
      <c r="D1934">
        <v>0.45</v>
      </c>
      <c r="E1934">
        <v>0.76</v>
      </c>
      <c r="F1934">
        <v>1.3</v>
      </c>
      <c r="G1934">
        <v>2.02</v>
      </c>
      <c r="H1934">
        <v>3.06</v>
      </c>
      <c r="I1934">
        <v>4.28</v>
      </c>
      <c r="J1934">
        <v>5.6</v>
      </c>
      <c r="K1934">
        <v>7.27</v>
      </c>
      <c r="L1934">
        <v>8.99</v>
      </c>
      <c r="M1934">
        <v>10.47</v>
      </c>
      <c r="N1934" s="92">
        <v>0.55000000000000004</v>
      </c>
    </row>
    <row r="1935" spans="2:14" x14ac:dyDescent="0.2">
      <c r="C1935" t="s">
        <v>609</v>
      </c>
      <c r="D1935">
        <v>0.45</v>
      </c>
      <c r="E1935">
        <v>0.76</v>
      </c>
      <c r="F1935">
        <v>0.56000000000000005</v>
      </c>
      <c r="G1935">
        <v>0.5</v>
      </c>
      <c r="H1935">
        <v>0.38</v>
      </c>
      <c r="I1935">
        <v>0.21</v>
      </c>
      <c r="J1935">
        <v>0.05</v>
      </c>
      <c r="K1935">
        <v>0</v>
      </c>
      <c r="L1935" t="s">
        <v>3</v>
      </c>
      <c r="M1935" t="s">
        <v>3</v>
      </c>
      <c r="N1935" s="92">
        <v>0.55000000000000004</v>
      </c>
    </row>
    <row r="1936" spans="2:14" x14ac:dyDescent="0.2">
      <c r="C1936" t="s">
        <v>610</v>
      </c>
      <c r="D1936" t="s">
        <v>572</v>
      </c>
      <c r="E1936" t="s">
        <v>3</v>
      </c>
      <c r="F1936">
        <v>0.74</v>
      </c>
      <c r="G1936">
        <v>1.52</v>
      </c>
      <c r="H1936">
        <v>2.68</v>
      </c>
      <c r="I1936">
        <v>4.07</v>
      </c>
      <c r="J1936">
        <v>5.54</v>
      </c>
      <c r="K1936">
        <v>7.26</v>
      </c>
      <c r="L1936">
        <v>8.99</v>
      </c>
      <c r="M1936">
        <v>10.47</v>
      </c>
      <c r="N1936" s="92" t="s">
        <v>3</v>
      </c>
    </row>
    <row r="1937" spans="3:14" x14ac:dyDescent="0.2">
      <c r="C1937" t="s">
        <v>580</v>
      </c>
      <c r="D1937">
        <v>0</v>
      </c>
      <c r="E1937">
        <v>0.02</v>
      </c>
      <c r="F1937">
        <v>0.08</v>
      </c>
      <c r="G1937">
        <v>0.14000000000000001</v>
      </c>
      <c r="H1937">
        <v>0.26</v>
      </c>
      <c r="I1937">
        <v>0.52</v>
      </c>
      <c r="J1937">
        <v>1.2</v>
      </c>
      <c r="K1937">
        <v>1.82</v>
      </c>
      <c r="L1937">
        <v>2.4900000000000002</v>
      </c>
      <c r="M1937">
        <v>3</v>
      </c>
      <c r="N1937" s="92">
        <v>0.01</v>
      </c>
    </row>
    <row r="1938" spans="3:14" x14ac:dyDescent="0.2">
      <c r="C1938" t="s">
        <v>581</v>
      </c>
      <c r="D1938">
        <v>0</v>
      </c>
      <c r="E1938">
        <v>0.02</v>
      </c>
      <c r="F1938">
        <v>0.21</v>
      </c>
      <c r="G1938">
        <v>0.4</v>
      </c>
      <c r="H1938">
        <v>0.59</v>
      </c>
      <c r="I1938">
        <v>0.88</v>
      </c>
      <c r="J1938">
        <v>1.06</v>
      </c>
      <c r="K1938">
        <v>1.56</v>
      </c>
      <c r="L1938">
        <v>2.06</v>
      </c>
      <c r="M1938">
        <v>2.56</v>
      </c>
      <c r="N1938" s="92">
        <v>0.01</v>
      </c>
    </row>
    <row r="1939" spans="3:14" x14ac:dyDescent="0.2">
      <c r="C1939" t="s">
        <v>582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 s="92">
        <v>0</v>
      </c>
    </row>
    <row r="1940" spans="3:14" x14ac:dyDescent="0.2">
      <c r="C1940" t="s">
        <v>47</v>
      </c>
      <c r="D1940" t="s">
        <v>3</v>
      </c>
      <c r="E1940" t="s">
        <v>3</v>
      </c>
      <c r="F1940">
        <v>0.05</v>
      </c>
      <c r="G1940">
        <v>0.1</v>
      </c>
      <c r="H1940">
        <v>0.2</v>
      </c>
      <c r="I1940">
        <v>0.39</v>
      </c>
      <c r="J1940">
        <v>0.72</v>
      </c>
      <c r="K1940">
        <v>1.2</v>
      </c>
      <c r="L1940">
        <v>1.74</v>
      </c>
      <c r="M1940">
        <v>2.19</v>
      </c>
      <c r="N1940" s="92" t="s">
        <v>3</v>
      </c>
    </row>
    <row r="1941" spans="3:14" x14ac:dyDescent="0.2">
      <c r="C1941" t="s">
        <v>583</v>
      </c>
      <c r="D1941">
        <v>0.01</v>
      </c>
      <c r="E1941">
        <v>0.09</v>
      </c>
      <c r="F1941">
        <v>0.23</v>
      </c>
      <c r="G1941">
        <v>0.41</v>
      </c>
      <c r="H1941">
        <v>0.66</v>
      </c>
      <c r="I1941">
        <v>0.82</v>
      </c>
      <c r="J1941">
        <v>0.82</v>
      </c>
      <c r="K1941">
        <v>0.83</v>
      </c>
      <c r="L1941">
        <v>0.83</v>
      </c>
      <c r="M1941">
        <v>0.84</v>
      </c>
      <c r="N1941" s="92">
        <v>0.02</v>
      </c>
    </row>
    <row r="1942" spans="3:14" x14ac:dyDescent="0.2">
      <c r="C1942" t="s">
        <v>584</v>
      </c>
      <c r="D1942">
        <v>0.01</v>
      </c>
      <c r="E1942">
        <v>0.05</v>
      </c>
      <c r="F1942">
        <v>0.13</v>
      </c>
      <c r="G1942">
        <v>0.28000000000000003</v>
      </c>
      <c r="H1942">
        <v>0.54</v>
      </c>
      <c r="I1942">
        <v>0.79</v>
      </c>
      <c r="J1942">
        <v>0.91</v>
      </c>
      <c r="K1942">
        <v>0.95</v>
      </c>
      <c r="L1942">
        <v>0.97</v>
      </c>
      <c r="M1942">
        <v>0.97</v>
      </c>
      <c r="N1942" s="92">
        <v>0.01</v>
      </c>
    </row>
    <row r="1943" spans="3:14" x14ac:dyDescent="0.2">
      <c r="C1943" t="s">
        <v>585</v>
      </c>
      <c r="D1943">
        <v>0.05</v>
      </c>
      <c r="E1943">
        <v>7.0000000000000007E-2</v>
      </c>
      <c r="F1943">
        <v>0.06</v>
      </c>
      <c r="G1943">
        <v>0.09</v>
      </c>
      <c r="H1943">
        <v>0.13</v>
      </c>
      <c r="I1943">
        <v>0.16</v>
      </c>
      <c r="J1943">
        <v>0.17</v>
      </c>
      <c r="K1943">
        <v>0.17</v>
      </c>
      <c r="L1943">
        <v>0.18</v>
      </c>
      <c r="M1943">
        <v>0.18</v>
      </c>
      <c r="N1943" s="92">
        <v>0.06</v>
      </c>
    </row>
    <row r="1944" spans="3:14" x14ac:dyDescent="0.2">
      <c r="C1944" t="s">
        <v>586</v>
      </c>
      <c r="D1944">
        <v>0.35</v>
      </c>
      <c r="E1944">
        <v>0.51</v>
      </c>
      <c r="F1944">
        <v>0.54</v>
      </c>
      <c r="G1944">
        <v>0.6</v>
      </c>
      <c r="H1944">
        <v>0.68</v>
      </c>
      <c r="I1944">
        <v>0.73</v>
      </c>
      <c r="J1944">
        <v>0.73</v>
      </c>
      <c r="K1944">
        <v>0.73</v>
      </c>
      <c r="L1944">
        <v>0.73</v>
      </c>
      <c r="M1944">
        <v>0.73</v>
      </c>
      <c r="N1944" s="92">
        <v>0.44</v>
      </c>
    </row>
    <row r="1945" spans="3:14" x14ac:dyDescent="0.2">
      <c r="C1945" t="s">
        <v>587</v>
      </c>
      <c r="D1945">
        <v>0.02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 s="92">
        <v>0.01</v>
      </c>
    </row>
    <row r="1946" spans="3:14" x14ac:dyDescent="0.2">
      <c r="C1946" t="s">
        <v>588</v>
      </c>
      <c r="D1946" s="20">
        <f t="shared" ref="D1946:I1946" si="866">D1926+D1929+D1930+D1934</f>
        <v>32.99</v>
      </c>
      <c r="E1946" s="20">
        <f t="shared" si="866"/>
        <v>30.39</v>
      </c>
      <c r="F1946" s="20">
        <f t="shared" si="866"/>
        <v>33.51</v>
      </c>
      <c r="G1946" s="20">
        <f t="shared" si="866"/>
        <v>34.81</v>
      </c>
      <c r="H1946" s="20">
        <f t="shared" si="866"/>
        <v>34.71</v>
      </c>
      <c r="I1946" s="20">
        <f t="shared" si="866"/>
        <v>34.04</v>
      </c>
      <c r="J1946" s="20">
        <f>J1926+J1930+J1934</f>
        <v>36.82</v>
      </c>
      <c r="K1946" s="20">
        <f>K1926+K1930+K1934</f>
        <v>36.459999999999994</v>
      </c>
      <c r="L1946" s="20">
        <f>L1926+L1930+L1934</f>
        <v>36.43</v>
      </c>
      <c r="M1946" s="20">
        <f>M1926+M1930+M1934</f>
        <v>36.020000000000003</v>
      </c>
      <c r="N1946" s="94">
        <f>N1926+N1929+N1930+N1934</f>
        <v>31.3</v>
      </c>
    </row>
    <row r="1947" spans="3:14" x14ac:dyDescent="0.2">
      <c r="C1947" t="s">
        <v>589</v>
      </c>
      <c r="D1947">
        <v>-0.89</v>
      </c>
      <c r="E1947">
        <v>-1.02</v>
      </c>
      <c r="F1947">
        <v>-2.13</v>
      </c>
      <c r="G1947">
        <v>-4.12</v>
      </c>
      <c r="H1947">
        <v>-4.12</v>
      </c>
      <c r="I1947">
        <v>-4.12</v>
      </c>
      <c r="J1947">
        <v>-4.12</v>
      </c>
      <c r="K1947">
        <v>-4.12</v>
      </c>
      <c r="L1947">
        <v>-4.12</v>
      </c>
      <c r="M1947">
        <v>-4.12</v>
      </c>
      <c r="N1947" s="92">
        <v>-0.89</v>
      </c>
    </row>
    <row r="1948" spans="3:14" x14ac:dyDescent="0.2">
      <c r="C1948" s="14" t="s">
        <v>590</v>
      </c>
      <c r="D1948" s="32">
        <f>D1946+D1947</f>
        <v>32.1</v>
      </c>
      <c r="E1948" s="32">
        <f t="shared" ref="E1948:M1948" si="867">E1946+E1947</f>
        <v>29.37</v>
      </c>
      <c r="F1948" s="32">
        <f t="shared" si="867"/>
        <v>31.38</v>
      </c>
      <c r="G1948" s="32">
        <f t="shared" si="867"/>
        <v>30.69</v>
      </c>
      <c r="H1948" s="32">
        <f t="shared" si="867"/>
        <v>30.59</v>
      </c>
      <c r="I1948" s="32">
        <f t="shared" si="867"/>
        <v>29.919999999999998</v>
      </c>
      <c r="J1948" s="32">
        <f t="shared" si="867"/>
        <v>32.700000000000003</v>
      </c>
      <c r="K1948" s="32">
        <f t="shared" si="867"/>
        <v>32.339999999999996</v>
      </c>
      <c r="L1948" s="32">
        <f t="shared" si="867"/>
        <v>32.31</v>
      </c>
      <c r="M1948" s="32">
        <f t="shared" si="867"/>
        <v>31.900000000000002</v>
      </c>
      <c r="N1948" s="95">
        <f>N1946+N1947</f>
        <v>30.41</v>
      </c>
    </row>
    <row r="1949" spans="3:14" x14ac:dyDescent="0.2">
      <c r="C1949" t="s">
        <v>591</v>
      </c>
      <c r="D1949">
        <v>10.16</v>
      </c>
      <c r="E1949">
        <v>9.36</v>
      </c>
      <c r="F1949">
        <v>9.36</v>
      </c>
      <c r="G1949">
        <v>5.46</v>
      </c>
      <c r="H1949">
        <v>4.57</v>
      </c>
      <c r="I1949">
        <v>4.57</v>
      </c>
      <c r="J1949">
        <v>1.42</v>
      </c>
      <c r="K1949">
        <v>0.71</v>
      </c>
      <c r="N1949" s="92">
        <v>9.76</v>
      </c>
    </row>
    <row r="1950" spans="3:14" x14ac:dyDescent="0.2">
      <c r="C1950" t="s">
        <v>592</v>
      </c>
      <c r="D1950">
        <v>10.16</v>
      </c>
      <c r="E1950">
        <v>9.36</v>
      </c>
      <c r="F1950">
        <v>9.36</v>
      </c>
      <c r="G1950">
        <v>5.46</v>
      </c>
      <c r="H1950">
        <v>4.57</v>
      </c>
      <c r="I1950">
        <v>4.57</v>
      </c>
      <c r="J1950">
        <v>1.42</v>
      </c>
      <c r="K1950">
        <v>0.71</v>
      </c>
      <c r="L1950" t="s">
        <v>572</v>
      </c>
      <c r="M1950" t="s">
        <v>3</v>
      </c>
      <c r="N1950" s="92">
        <v>9.76</v>
      </c>
    </row>
    <row r="1951" spans="3:14" x14ac:dyDescent="0.2">
      <c r="C1951" t="s">
        <v>593</v>
      </c>
      <c r="D1951" t="s">
        <v>3</v>
      </c>
      <c r="E1951" t="s">
        <v>3</v>
      </c>
      <c r="F1951" t="s">
        <v>3</v>
      </c>
      <c r="G1951" t="s">
        <v>572</v>
      </c>
      <c r="H1951" t="s">
        <v>3</v>
      </c>
      <c r="I1951" t="s">
        <v>3</v>
      </c>
      <c r="J1951" t="s">
        <v>3</v>
      </c>
      <c r="K1951" t="s">
        <v>3</v>
      </c>
      <c r="L1951" t="s">
        <v>3</v>
      </c>
      <c r="M1951" t="s">
        <v>3</v>
      </c>
      <c r="N1951" s="92" t="s">
        <v>572</v>
      </c>
    </row>
    <row r="1952" spans="3:14" x14ac:dyDescent="0.2">
      <c r="C1952" t="s">
        <v>594</v>
      </c>
      <c r="D1952">
        <v>11.67</v>
      </c>
      <c r="E1952">
        <v>4.0999999999999996</v>
      </c>
      <c r="F1952">
        <v>5.51</v>
      </c>
      <c r="G1952">
        <v>1.26</v>
      </c>
      <c r="H1952">
        <v>1.1299999999999999</v>
      </c>
      <c r="I1952">
        <v>1.1299999999999999</v>
      </c>
      <c r="J1952">
        <v>1.1299999999999999</v>
      </c>
      <c r="K1952">
        <v>0.36</v>
      </c>
      <c r="M1952">
        <v>0</v>
      </c>
      <c r="N1952" s="92">
        <v>6.85</v>
      </c>
    </row>
    <row r="1953" spans="2:14" x14ac:dyDescent="0.2">
      <c r="C1953" t="s">
        <v>612</v>
      </c>
      <c r="D1953">
        <v>1.47</v>
      </c>
      <c r="E1953">
        <v>1.1299999999999999</v>
      </c>
      <c r="F1953">
        <v>1.1299999999999999</v>
      </c>
      <c r="G1953">
        <v>1.1299999999999999</v>
      </c>
      <c r="H1953">
        <v>1.1299999999999999</v>
      </c>
      <c r="I1953">
        <v>1.1299999999999999</v>
      </c>
      <c r="J1953">
        <v>1.1299999999999999</v>
      </c>
      <c r="K1953">
        <v>0.36</v>
      </c>
      <c r="L1953" t="s">
        <v>572</v>
      </c>
      <c r="M1953" t="s">
        <v>3</v>
      </c>
      <c r="N1953" s="92">
        <v>1.1299999999999999</v>
      </c>
    </row>
    <row r="1954" spans="2:14" x14ac:dyDescent="0.2">
      <c r="C1954" t="s">
        <v>596</v>
      </c>
      <c r="D1954">
        <v>10.199999999999999</v>
      </c>
      <c r="E1954">
        <v>2.97</v>
      </c>
      <c r="F1954">
        <v>4.3899999999999997</v>
      </c>
      <c r="G1954">
        <v>0.13</v>
      </c>
      <c r="H1954" t="s">
        <v>572</v>
      </c>
      <c r="I1954" t="s">
        <v>3</v>
      </c>
      <c r="J1954" t="s">
        <v>3</v>
      </c>
      <c r="K1954" t="s">
        <v>3</v>
      </c>
      <c r="L1954" t="s">
        <v>3</v>
      </c>
      <c r="M1954">
        <v>0</v>
      </c>
      <c r="N1954" s="92">
        <v>5.72</v>
      </c>
    </row>
    <row r="1955" spans="2:14" x14ac:dyDescent="0.2">
      <c r="C1955" s="14" t="s">
        <v>597</v>
      </c>
      <c r="D1955" s="32">
        <f>D1949-D1952</f>
        <v>-1.5099999999999998</v>
      </c>
      <c r="E1955" s="32">
        <f t="shared" ref="E1955:M1955" si="868">E1949-E1952</f>
        <v>5.26</v>
      </c>
      <c r="F1955" s="32">
        <f t="shared" si="868"/>
        <v>3.8499999999999996</v>
      </c>
      <c r="G1955" s="32">
        <f t="shared" si="868"/>
        <v>4.2</v>
      </c>
      <c r="H1955" s="32">
        <f t="shared" si="868"/>
        <v>3.4400000000000004</v>
      </c>
      <c r="I1955" s="32">
        <f t="shared" si="868"/>
        <v>3.4400000000000004</v>
      </c>
      <c r="J1955" s="32">
        <f t="shared" si="868"/>
        <v>0.29000000000000004</v>
      </c>
      <c r="K1955" s="32">
        <f t="shared" si="868"/>
        <v>0.35</v>
      </c>
      <c r="L1955" s="32">
        <f t="shared" si="868"/>
        <v>0</v>
      </c>
      <c r="M1955" s="32">
        <f t="shared" si="868"/>
        <v>0</v>
      </c>
      <c r="N1955" s="95">
        <f>N1949-N1952</f>
        <v>2.91</v>
      </c>
    </row>
    <row r="1956" spans="2:14" x14ac:dyDescent="0.2">
      <c r="C1956" t="s">
        <v>598</v>
      </c>
      <c r="D1956" s="20">
        <f>D1948+D1955</f>
        <v>30.590000000000003</v>
      </c>
      <c r="E1956" s="20">
        <f t="shared" ref="E1956:M1956" si="869">E1948+E1955</f>
        <v>34.630000000000003</v>
      </c>
      <c r="F1956" s="20">
        <f t="shared" si="869"/>
        <v>35.229999999999997</v>
      </c>
      <c r="G1956" s="20">
        <f t="shared" si="869"/>
        <v>34.89</v>
      </c>
      <c r="H1956" s="20">
        <f t="shared" si="869"/>
        <v>34.03</v>
      </c>
      <c r="I1956" s="20">
        <f t="shared" si="869"/>
        <v>33.36</v>
      </c>
      <c r="J1956" s="20">
        <f t="shared" si="869"/>
        <v>32.99</v>
      </c>
      <c r="K1956" s="20">
        <f t="shared" si="869"/>
        <v>32.69</v>
      </c>
      <c r="L1956" s="20">
        <f t="shared" si="869"/>
        <v>32.31</v>
      </c>
      <c r="M1956" s="20">
        <f t="shared" si="869"/>
        <v>31.900000000000002</v>
      </c>
      <c r="N1956" s="94">
        <f>N1948+N1955</f>
        <v>33.32</v>
      </c>
    </row>
    <row r="1957" spans="2:14" x14ac:dyDescent="0.2">
      <c r="N1957" s="92"/>
    </row>
    <row r="1958" spans="2:14" x14ac:dyDescent="0.2">
      <c r="C1958" t="s">
        <v>599</v>
      </c>
      <c r="D1958">
        <v>32.950000000000003</v>
      </c>
      <c r="E1958">
        <v>36.770000000000003</v>
      </c>
      <c r="F1958">
        <v>38.479999999999997</v>
      </c>
      <c r="G1958">
        <v>40.14</v>
      </c>
      <c r="H1958">
        <v>39.28</v>
      </c>
      <c r="I1958">
        <v>38.6</v>
      </c>
      <c r="J1958">
        <v>38.229999999999997</v>
      </c>
      <c r="K1958">
        <v>37.159999999999997</v>
      </c>
      <c r="L1958">
        <v>36.44</v>
      </c>
      <c r="M1958">
        <v>36.020000000000003</v>
      </c>
      <c r="N1958" s="92">
        <v>35.33</v>
      </c>
    </row>
    <row r="1959" spans="2:14" x14ac:dyDescent="0.2">
      <c r="N1959" s="92"/>
    </row>
    <row r="1960" spans="2:14" x14ac:dyDescent="0.2">
      <c r="N1960" s="92"/>
    </row>
    <row r="1961" spans="2:14" s="2" customFormat="1" ht="15" x14ac:dyDescent="0.25">
      <c r="B1961" s="2" t="s">
        <v>643</v>
      </c>
      <c r="C1961" s="9"/>
      <c r="N1961" s="96"/>
    </row>
    <row r="1962" spans="2:14" s="2" customFormat="1" ht="15" x14ac:dyDescent="0.25">
      <c r="B1962" s="2" t="s">
        <v>614</v>
      </c>
      <c r="N1962" s="96"/>
    </row>
    <row r="1963" spans="2:14" s="2" customFormat="1" ht="15" x14ac:dyDescent="0.25">
      <c r="B1963" s="13" t="s">
        <v>615</v>
      </c>
      <c r="D1963" s="2">
        <v>2000</v>
      </c>
      <c r="E1963" s="2">
        <v>2010</v>
      </c>
      <c r="F1963" s="2">
        <v>2015</v>
      </c>
      <c r="G1963" s="2">
        <v>2020</v>
      </c>
      <c r="H1963" s="2">
        <v>2025</v>
      </c>
      <c r="I1963" s="2">
        <v>2030</v>
      </c>
      <c r="J1963" s="2">
        <v>2035</v>
      </c>
      <c r="K1963" s="2">
        <v>2040</v>
      </c>
      <c r="L1963" s="2">
        <v>2045</v>
      </c>
      <c r="M1963" s="2">
        <v>2050</v>
      </c>
      <c r="N1963" s="96">
        <v>2005</v>
      </c>
    </row>
    <row r="1964" spans="2:14" x14ac:dyDescent="0.2">
      <c r="C1964" t="s">
        <v>568</v>
      </c>
      <c r="D1964">
        <v>20.67</v>
      </c>
      <c r="E1964">
        <v>21.26</v>
      </c>
      <c r="F1964">
        <v>21.92</v>
      </c>
      <c r="G1964">
        <v>22.98</v>
      </c>
      <c r="H1964">
        <v>23.05</v>
      </c>
      <c r="I1964">
        <v>23.08</v>
      </c>
      <c r="J1964">
        <v>23.13</v>
      </c>
      <c r="K1964">
        <v>23.22</v>
      </c>
      <c r="L1964">
        <v>23.28</v>
      </c>
      <c r="M1964">
        <v>23.29</v>
      </c>
      <c r="N1964" s="92">
        <v>18.78</v>
      </c>
    </row>
    <row r="1965" spans="2:14" x14ac:dyDescent="0.2">
      <c r="C1965" t="s">
        <v>633</v>
      </c>
      <c r="D1965">
        <v>20.67</v>
      </c>
      <c r="E1965">
        <v>21.26</v>
      </c>
      <c r="F1965">
        <v>21</v>
      </c>
      <c r="G1965">
        <v>20.78</v>
      </c>
      <c r="H1965">
        <v>20.58</v>
      </c>
      <c r="I1965">
        <v>20.37</v>
      </c>
      <c r="J1965">
        <v>20.07</v>
      </c>
      <c r="K1965">
        <v>19.82</v>
      </c>
      <c r="L1965">
        <v>19.32</v>
      </c>
      <c r="M1965">
        <v>18.95</v>
      </c>
      <c r="N1965" s="92">
        <v>18.78</v>
      </c>
    </row>
    <row r="1966" spans="2:14" x14ac:dyDescent="0.2">
      <c r="C1966" t="s">
        <v>603</v>
      </c>
      <c r="D1966" t="s">
        <v>572</v>
      </c>
      <c r="E1966" t="s">
        <v>572</v>
      </c>
      <c r="F1966">
        <v>0.91</v>
      </c>
      <c r="G1966">
        <v>2.19</v>
      </c>
      <c r="H1966">
        <v>2.4700000000000002</v>
      </c>
      <c r="I1966">
        <v>2.71</v>
      </c>
      <c r="J1966">
        <v>3.06</v>
      </c>
      <c r="K1966">
        <v>3.4</v>
      </c>
      <c r="L1966">
        <v>3.97</v>
      </c>
      <c r="M1966">
        <v>4.34</v>
      </c>
      <c r="N1966" s="92" t="s">
        <v>572</v>
      </c>
    </row>
    <row r="1967" spans="2:14" x14ac:dyDescent="0.2">
      <c r="C1967" t="s">
        <v>571</v>
      </c>
      <c r="D1967">
        <v>11.01</v>
      </c>
      <c r="E1967">
        <v>10.96</v>
      </c>
      <c r="F1967">
        <v>11.08</v>
      </c>
      <c r="G1967">
        <v>9.77</v>
      </c>
      <c r="H1967">
        <v>7.21</v>
      </c>
      <c r="I1967">
        <v>3.97</v>
      </c>
      <c r="J1967">
        <v>0</v>
      </c>
      <c r="K1967">
        <v>0</v>
      </c>
      <c r="L1967">
        <v>0</v>
      </c>
      <c r="M1967">
        <v>0</v>
      </c>
      <c r="N1967" s="92">
        <v>7.97</v>
      </c>
    </row>
    <row r="1968" spans="2:14" x14ac:dyDescent="0.2">
      <c r="C1968" t="s">
        <v>604</v>
      </c>
      <c r="D1968">
        <v>0.67</v>
      </c>
      <c r="E1968">
        <v>0.88</v>
      </c>
      <c r="F1968">
        <v>1.07</v>
      </c>
      <c r="G1968">
        <v>1.23</v>
      </c>
      <c r="H1968">
        <v>1.3</v>
      </c>
      <c r="I1968">
        <v>1.38</v>
      </c>
      <c r="J1968">
        <v>1.37</v>
      </c>
      <c r="K1968">
        <v>1.31</v>
      </c>
      <c r="L1968">
        <v>1.31</v>
      </c>
      <c r="M1968">
        <v>1.31</v>
      </c>
      <c r="N1968" s="92">
        <v>0.82</v>
      </c>
    </row>
    <row r="1969" spans="3:14" x14ac:dyDescent="0.2">
      <c r="C1969" t="s">
        <v>605</v>
      </c>
      <c r="D1969">
        <v>0.67</v>
      </c>
      <c r="E1969">
        <v>0.88</v>
      </c>
      <c r="F1969">
        <v>0.71</v>
      </c>
      <c r="G1969">
        <v>0.62</v>
      </c>
      <c r="H1969">
        <v>0.38</v>
      </c>
      <c r="I1969">
        <v>0.24</v>
      </c>
      <c r="J1969">
        <v>0.14000000000000001</v>
      </c>
      <c r="K1969" t="s">
        <v>572</v>
      </c>
      <c r="L1969" t="s">
        <v>3</v>
      </c>
      <c r="M1969" t="s">
        <v>3</v>
      </c>
      <c r="N1969" s="92">
        <v>0.82</v>
      </c>
    </row>
    <row r="1970" spans="3:14" x14ac:dyDescent="0.2">
      <c r="C1970" t="s">
        <v>606</v>
      </c>
      <c r="D1970" t="s">
        <v>3</v>
      </c>
      <c r="E1970" t="s">
        <v>3</v>
      </c>
      <c r="F1970" t="s">
        <v>3</v>
      </c>
      <c r="G1970" t="s">
        <v>3</v>
      </c>
      <c r="H1970" t="s">
        <v>3</v>
      </c>
      <c r="I1970" t="s">
        <v>3</v>
      </c>
      <c r="J1970" t="s">
        <v>3</v>
      </c>
      <c r="K1970" t="s">
        <v>3</v>
      </c>
      <c r="L1970" t="s">
        <v>3</v>
      </c>
      <c r="M1970" t="s">
        <v>3</v>
      </c>
      <c r="N1970" s="92" t="s">
        <v>3</v>
      </c>
    </row>
    <row r="1971" spans="3:14" x14ac:dyDescent="0.2">
      <c r="C1971" t="s">
        <v>607</v>
      </c>
      <c r="D1971" t="s">
        <v>3</v>
      </c>
      <c r="E1971" t="s">
        <v>3</v>
      </c>
      <c r="F1971">
        <v>0.36</v>
      </c>
      <c r="G1971">
        <v>0.61</v>
      </c>
      <c r="H1971">
        <v>0.92</v>
      </c>
      <c r="I1971">
        <v>1.1499999999999999</v>
      </c>
      <c r="J1971">
        <v>1.23</v>
      </c>
      <c r="K1971">
        <v>1.31</v>
      </c>
      <c r="L1971">
        <v>1.31</v>
      </c>
      <c r="M1971">
        <v>1.31</v>
      </c>
      <c r="N1971" s="92" t="s">
        <v>3</v>
      </c>
    </row>
    <row r="1972" spans="3:14" x14ac:dyDescent="0.2">
      <c r="C1972" t="s">
        <v>608</v>
      </c>
      <c r="D1972">
        <v>0.36</v>
      </c>
      <c r="E1972">
        <v>0.62</v>
      </c>
      <c r="F1972">
        <v>1.07</v>
      </c>
      <c r="G1972">
        <v>1.66</v>
      </c>
      <c r="H1972">
        <v>2.6</v>
      </c>
      <c r="I1972">
        <v>3.96</v>
      </c>
      <c r="J1972">
        <v>6.34</v>
      </c>
      <c r="K1972">
        <v>8.8800000000000008</v>
      </c>
      <c r="L1972">
        <v>11.58</v>
      </c>
      <c r="M1972">
        <v>13.75</v>
      </c>
      <c r="N1972" s="92">
        <v>0.45</v>
      </c>
    </row>
    <row r="1973" spans="3:14" x14ac:dyDescent="0.2">
      <c r="C1973" t="s">
        <v>609</v>
      </c>
      <c r="D1973">
        <v>0.36</v>
      </c>
      <c r="E1973">
        <v>0.62</v>
      </c>
      <c r="F1973">
        <v>0.47</v>
      </c>
      <c r="G1973">
        <v>0.42</v>
      </c>
      <c r="H1973">
        <v>0.32</v>
      </c>
      <c r="I1973">
        <v>0.19</v>
      </c>
      <c r="J1973">
        <v>0.04</v>
      </c>
      <c r="K1973">
        <v>0</v>
      </c>
      <c r="L1973" t="s">
        <v>3</v>
      </c>
      <c r="M1973" t="s">
        <v>3</v>
      </c>
      <c r="N1973" s="92">
        <v>0.45</v>
      </c>
    </row>
    <row r="1974" spans="3:14" x14ac:dyDescent="0.2">
      <c r="C1974" t="s">
        <v>610</v>
      </c>
      <c r="D1974" t="s">
        <v>572</v>
      </c>
      <c r="E1974" t="s">
        <v>3</v>
      </c>
      <c r="F1974">
        <v>0.6</v>
      </c>
      <c r="G1974">
        <v>1.25</v>
      </c>
      <c r="H1974">
        <v>2.2799999999999998</v>
      </c>
      <c r="I1974">
        <v>3.77</v>
      </c>
      <c r="J1974">
        <v>6.3</v>
      </c>
      <c r="K1974">
        <v>8.8800000000000008</v>
      </c>
      <c r="L1974">
        <v>11.58</v>
      </c>
      <c r="M1974">
        <v>13.75</v>
      </c>
      <c r="N1974" s="92" t="s">
        <v>3</v>
      </c>
    </row>
    <row r="1975" spans="3:14" x14ac:dyDescent="0.2">
      <c r="C1975" t="s">
        <v>580</v>
      </c>
      <c r="D1975">
        <v>0.01</v>
      </c>
      <c r="E1975">
        <v>0.06</v>
      </c>
      <c r="F1975">
        <v>0.21</v>
      </c>
      <c r="G1975">
        <v>0.38</v>
      </c>
      <c r="H1975">
        <v>0.71</v>
      </c>
      <c r="I1975">
        <v>1.39</v>
      </c>
      <c r="J1975">
        <v>3.24</v>
      </c>
      <c r="K1975">
        <v>4.92</v>
      </c>
      <c r="L1975">
        <v>6.74</v>
      </c>
      <c r="M1975">
        <v>8.1199999999999992</v>
      </c>
      <c r="N1975" s="92">
        <v>0.01</v>
      </c>
    </row>
    <row r="1976" spans="3:14" x14ac:dyDescent="0.2">
      <c r="C1976" t="s">
        <v>581</v>
      </c>
      <c r="D1976">
        <v>0</v>
      </c>
      <c r="E1976">
        <v>0.01</v>
      </c>
      <c r="F1976">
        <v>0.14000000000000001</v>
      </c>
      <c r="G1976">
        <v>0.26</v>
      </c>
      <c r="H1976">
        <v>0.39</v>
      </c>
      <c r="I1976">
        <v>0.57999999999999996</v>
      </c>
      <c r="J1976">
        <v>0.7</v>
      </c>
      <c r="K1976">
        <v>1.04</v>
      </c>
      <c r="L1976">
        <v>1.37</v>
      </c>
      <c r="M1976">
        <v>1.7</v>
      </c>
      <c r="N1976" s="92">
        <v>0</v>
      </c>
    </row>
    <row r="1977" spans="3:14" x14ac:dyDescent="0.2">
      <c r="C1977" t="s">
        <v>582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 s="92">
        <v>0</v>
      </c>
    </row>
    <row r="1978" spans="3:14" x14ac:dyDescent="0.2">
      <c r="C1978" t="s">
        <v>47</v>
      </c>
      <c r="D1978" t="s">
        <v>3</v>
      </c>
      <c r="E1978" t="s">
        <v>3</v>
      </c>
      <c r="F1978">
        <v>0.05</v>
      </c>
      <c r="G1978">
        <v>0.1</v>
      </c>
      <c r="H1978">
        <v>0.2</v>
      </c>
      <c r="I1978">
        <v>0.39</v>
      </c>
      <c r="J1978">
        <v>0.72</v>
      </c>
      <c r="K1978">
        <v>1.2</v>
      </c>
      <c r="L1978">
        <v>1.74</v>
      </c>
      <c r="M1978">
        <v>2.19</v>
      </c>
      <c r="N1978" s="92" t="s">
        <v>3</v>
      </c>
    </row>
    <row r="1979" spans="3:14" x14ac:dyDescent="0.2">
      <c r="C1979" t="s">
        <v>583</v>
      </c>
      <c r="D1979">
        <v>0.01</v>
      </c>
      <c r="E1979">
        <v>0.04</v>
      </c>
      <c r="F1979">
        <v>0.1</v>
      </c>
      <c r="G1979">
        <v>0.19</v>
      </c>
      <c r="H1979">
        <v>0.31</v>
      </c>
      <c r="I1979">
        <v>0.39</v>
      </c>
      <c r="J1979">
        <v>0.4</v>
      </c>
      <c r="K1979">
        <v>0.4</v>
      </c>
      <c r="L1979">
        <v>0.4</v>
      </c>
      <c r="M1979">
        <v>0.41</v>
      </c>
      <c r="N1979" s="92">
        <v>0.01</v>
      </c>
    </row>
    <row r="1980" spans="3:14" x14ac:dyDescent="0.2">
      <c r="C1980" t="s">
        <v>584</v>
      </c>
      <c r="D1980">
        <v>0</v>
      </c>
      <c r="E1980">
        <v>0.03</v>
      </c>
      <c r="F1980">
        <v>0.08</v>
      </c>
      <c r="G1980">
        <v>0.18</v>
      </c>
      <c r="H1980">
        <v>0.34</v>
      </c>
      <c r="I1980">
        <v>0.5</v>
      </c>
      <c r="J1980">
        <v>0.56999999999999995</v>
      </c>
      <c r="K1980">
        <v>0.6</v>
      </c>
      <c r="L1980">
        <v>0.61</v>
      </c>
      <c r="M1980">
        <v>0.61</v>
      </c>
      <c r="N1980" s="92">
        <v>0.01</v>
      </c>
    </row>
    <row r="1981" spans="3:14" x14ac:dyDescent="0.2">
      <c r="C1981" t="s">
        <v>585</v>
      </c>
      <c r="D1981">
        <v>0.04</v>
      </c>
      <c r="E1981">
        <v>0.05</v>
      </c>
      <c r="F1981">
        <v>0.04</v>
      </c>
      <c r="G1981">
        <v>7.0000000000000007E-2</v>
      </c>
      <c r="H1981">
        <v>0.09</v>
      </c>
      <c r="I1981">
        <v>0.11</v>
      </c>
      <c r="J1981">
        <v>0.12</v>
      </c>
      <c r="K1981">
        <v>0.12</v>
      </c>
      <c r="L1981">
        <v>0.12</v>
      </c>
      <c r="M1981">
        <v>0.12</v>
      </c>
      <c r="N1981" s="92">
        <v>0.04</v>
      </c>
    </row>
    <row r="1982" spans="3:14" x14ac:dyDescent="0.2">
      <c r="C1982" t="s">
        <v>586</v>
      </c>
      <c r="D1982">
        <v>0.28999999999999998</v>
      </c>
      <c r="E1982">
        <v>0.41</v>
      </c>
      <c r="F1982">
        <v>0.45</v>
      </c>
      <c r="G1982">
        <v>0.49</v>
      </c>
      <c r="H1982">
        <v>0.56000000000000005</v>
      </c>
      <c r="I1982">
        <v>0.59</v>
      </c>
      <c r="J1982">
        <v>0.6</v>
      </c>
      <c r="K1982">
        <v>0.6</v>
      </c>
      <c r="L1982">
        <v>0.6</v>
      </c>
      <c r="M1982">
        <v>0.6</v>
      </c>
      <c r="N1982" s="92">
        <v>0.36</v>
      </c>
    </row>
    <row r="1983" spans="3:14" x14ac:dyDescent="0.2">
      <c r="C1983" t="s">
        <v>587</v>
      </c>
      <c r="D1983">
        <v>0.02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 s="92">
        <v>0.01</v>
      </c>
    </row>
    <row r="1984" spans="3:14" x14ac:dyDescent="0.2">
      <c r="C1984" t="s">
        <v>588</v>
      </c>
      <c r="D1984" s="20">
        <f t="shared" ref="D1984:I1984" si="870">D1964+D1967+D1968+D1972</f>
        <v>32.71</v>
      </c>
      <c r="E1984" s="20">
        <f t="shared" si="870"/>
        <v>33.72</v>
      </c>
      <c r="F1984" s="20">
        <f t="shared" si="870"/>
        <v>35.14</v>
      </c>
      <c r="G1984" s="20">
        <f t="shared" si="870"/>
        <v>35.639999999999993</v>
      </c>
      <c r="H1984" s="20">
        <f t="shared" si="870"/>
        <v>34.160000000000004</v>
      </c>
      <c r="I1984" s="20">
        <f t="shared" si="870"/>
        <v>32.389999999999993</v>
      </c>
      <c r="J1984" s="20">
        <f>J1964+J1968+J1972</f>
        <v>30.84</v>
      </c>
      <c r="K1984" s="20">
        <f>K1964+K1968+K1972</f>
        <v>33.409999999999997</v>
      </c>
      <c r="L1984" s="20">
        <f>L1964+L1968+L1972</f>
        <v>36.17</v>
      </c>
      <c r="M1984" s="20">
        <f>M1964+M1968+M1972</f>
        <v>38.349999999999994</v>
      </c>
      <c r="N1984" s="94">
        <f>N1964+N1967+N1968+N1972</f>
        <v>28.02</v>
      </c>
    </row>
    <row r="1985" spans="2:14" x14ac:dyDescent="0.2">
      <c r="C1985" t="s">
        <v>589</v>
      </c>
      <c r="D1985">
        <v>-1.33</v>
      </c>
      <c r="E1985">
        <v>-1.53</v>
      </c>
      <c r="F1985">
        <v>-2.21</v>
      </c>
      <c r="G1985">
        <v>-3.42</v>
      </c>
      <c r="H1985">
        <v>-3.42</v>
      </c>
      <c r="I1985">
        <v>-3.42</v>
      </c>
      <c r="J1985">
        <v>-3.42</v>
      </c>
      <c r="K1985">
        <v>-3.42</v>
      </c>
      <c r="L1985">
        <v>-3.42</v>
      </c>
      <c r="M1985">
        <v>-3.42</v>
      </c>
      <c r="N1985" s="92">
        <v>-1.33</v>
      </c>
    </row>
    <row r="1986" spans="2:14" x14ac:dyDescent="0.2">
      <c r="C1986" s="14" t="s">
        <v>590</v>
      </c>
      <c r="D1986" s="32">
        <f>D1984+D1985</f>
        <v>31.380000000000003</v>
      </c>
      <c r="E1986" s="32">
        <f t="shared" ref="E1986:M1986" si="871">E1984+E1985</f>
        <v>32.19</v>
      </c>
      <c r="F1986" s="32">
        <f t="shared" si="871"/>
        <v>32.93</v>
      </c>
      <c r="G1986" s="32">
        <f t="shared" si="871"/>
        <v>32.219999999999992</v>
      </c>
      <c r="H1986" s="32">
        <f t="shared" si="871"/>
        <v>30.740000000000002</v>
      </c>
      <c r="I1986" s="32">
        <f t="shared" si="871"/>
        <v>28.969999999999992</v>
      </c>
      <c r="J1986" s="32">
        <f t="shared" si="871"/>
        <v>27.42</v>
      </c>
      <c r="K1986" s="32">
        <f t="shared" si="871"/>
        <v>29.989999999999995</v>
      </c>
      <c r="L1986" s="32">
        <f t="shared" si="871"/>
        <v>32.75</v>
      </c>
      <c r="M1986" s="32">
        <f t="shared" si="871"/>
        <v>34.929999999999993</v>
      </c>
      <c r="N1986" s="95">
        <f>N1984+N1985</f>
        <v>26.689999999999998</v>
      </c>
    </row>
    <row r="1987" spans="2:14" x14ac:dyDescent="0.2">
      <c r="C1987" t="s">
        <v>591</v>
      </c>
      <c r="D1987">
        <v>8.56</v>
      </c>
      <c r="E1987">
        <v>7.88</v>
      </c>
      <c r="F1987">
        <v>7.88</v>
      </c>
      <c r="G1987">
        <v>4.5999999999999996</v>
      </c>
      <c r="H1987">
        <v>3.85</v>
      </c>
      <c r="I1987">
        <v>3.85</v>
      </c>
      <c r="J1987">
        <v>1.19</v>
      </c>
      <c r="K1987">
        <v>0.6</v>
      </c>
      <c r="N1987" s="92">
        <v>8.2200000000000006</v>
      </c>
    </row>
    <row r="1988" spans="2:14" x14ac:dyDescent="0.2">
      <c r="C1988" t="s">
        <v>592</v>
      </c>
      <c r="D1988">
        <v>8.56</v>
      </c>
      <c r="E1988">
        <v>7.88</v>
      </c>
      <c r="F1988">
        <v>7.88</v>
      </c>
      <c r="G1988">
        <v>4.5999999999999996</v>
      </c>
      <c r="H1988">
        <v>3.85</v>
      </c>
      <c r="I1988">
        <v>3.85</v>
      </c>
      <c r="J1988">
        <v>1.19</v>
      </c>
      <c r="K1988">
        <v>0.6</v>
      </c>
      <c r="L1988" t="s">
        <v>572</v>
      </c>
      <c r="M1988" t="s">
        <v>3</v>
      </c>
      <c r="N1988" s="92">
        <v>8.2200000000000006</v>
      </c>
    </row>
    <row r="1989" spans="2:14" x14ac:dyDescent="0.2">
      <c r="C1989" t="s">
        <v>593</v>
      </c>
      <c r="D1989" t="s">
        <v>3</v>
      </c>
      <c r="E1989" t="s">
        <v>572</v>
      </c>
      <c r="F1989" t="s">
        <v>3</v>
      </c>
      <c r="G1989" t="s">
        <v>3</v>
      </c>
      <c r="H1989" t="s">
        <v>3</v>
      </c>
      <c r="I1989" t="s">
        <v>3</v>
      </c>
      <c r="J1989" t="s">
        <v>3</v>
      </c>
      <c r="K1989" t="s">
        <v>3</v>
      </c>
      <c r="L1989" t="s">
        <v>3</v>
      </c>
      <c r="M1989" t="s">
        <v>3</v>
      </c>
      <c r="N1989" s="92" t="s">
        <v>572</v>
      </c>
    </row>
    <row r="1990" spans="2:14" x14ac:dyDescent="0.2">
      <c r="C1990" t="s">
        <v>594</v>
      </c>
      <c r="D1990">
        <v>14.39</v>
      </c>
      <c r="E1990">
        <v>11.09</v>
      </c>
      <c r="F1990">
        <v>11.48</v>
      </c>
      <c r="G1990">
        <v>7.91</v>
      </c>
      <c r="H1990">
        <v>6.52</v>
      </c>
      <c r="I1990">
        <v>5.46</v>
      </c>
      <c r="J1990">
        <v>1.69</v>
      </c>
      <c r="K1990">
        <v>4.04</v>
      </c>
      <c r="L1990">
        <v>6.63</v>
      </c>
      <c r="M1990">
        <v>9.27</v>
      </c>
      <c r="N1990" s="92">
        <v>6.9</v>
      </c>
    </row>
    <row r="1991" spans="2:14" x14ac:dyDescent="0.2">
      <c r="C1991" t="s">
        <v>612</v>
      </c>
      <c r="D1991">
        <v>1.35</v>
      </c>
      <c r="E1991">
        <v>1.1399999999999999</v>
      </c>
      <c r="F1991">
        <v>1.1399999999999999</v>
      </c>
      <c r="G1991">
        <v>1.1399999999999999</v>
      </c>
      <c r="H1991">
        <v>1.1399999999999999</v>
      </c>
      <c r="I1991">
        <v>1.1399999999999999</v>
      </c>
      <c r="J1991">
        <v>1.1399999999999999</v>
      </c>
      <c r="K1991">
        <v>0.3</v>
      </c>
      <c r="L1991" t="s">
        <v>572</v>
      </c>
      <c r="M1991" t="s">
        <v>3</v>
      </c>
      <c r="N1991" s="92">
        <v>1.1399999999999999</v>
      </c>
    </row>
    <row r="1992" spans="2:14" x14ac:dyDescent="0.2">
      <c r="C1992" t="s">
        <v>596</v>
      </c>
      <c r="D1992">
        <v>13.04</v>
      </c>
      <c r="E1992">
        <v>9.9600000000000009</v>
      </c>
      <c r="F1992">
        <v>10.35</v>
      </c>
      <c r="G1992">
        <v>6.78</v>
      </c>
      <c r="H1992">
        <v>5.39</v>
      </c>
      <c r="I1992">
        <v>4.32</v>
      </c>
      <c r="J1992">
        <v>0.56000000000000005</v>
      </c>
      <c r="K1992">
        <v>3.74</v>
      </c>
      <c r="L1992">
        <v>6.63</v>
      </c>
      <c r="M1992">
        <v>9.27</v>
      </c>
      <c r="N1992" s="92">
        <v>5.76</v>
      </c>
    </row>
    <row r="1993" spans="2:14" x14ac:dyDescent="0.2">
      <c r="C1993" s="14" t="s">
        <v>597</v>
      </c>
      <c r="D1993" s="32">
        <f>D1987-D1990</f>
        <v>-5.83</v>
      </c>
      <c r="E1993" s="32">
        <f t="shared" ref="E1993:M1993" si="872">E1987-E1990</f>
        <v>-3.21</v>
      </c>
      <c r="F1993" s="32">
        <f t="shared" si="872"/>
        <v>-3.6000000000000005</v>
      </c>
      <c r="G1993" s="32">
        <f t="shared" si="872"/>
        <v>-3.3100000000000005</v>
      </c>
      <c r="H1993" s="32">
        <f t="shared" si="872"/>
        <v>-2.6699999999999995</v>
      </c>
      <c r="I1993" s="32">
        <f t="shared" si="872"/>
        <v>-1.6099999999999999</v>
      </c>
      <c r="J1993" s="32">
        <f t="shared" si="872"/>
        <v>-0.5</v>
      </c>
      <c r="K1993" s="32">
        <f t="shared" si="872"/>
        <v>-3.44</v>
      </c>
      <c r="L1993" s="32">
        <f t="shared" si="872"/>
        <v>-6.63</v>
      </c>
      <c r="M1993" s="32">
        <f t="shared" si="872"/>
        <v>-9.27</v>
      </c>
      <c r="N1993" s="95">
        <f>N1987-N1990</f>
        <v>1.3200000000000003</v>
      </c>
    </row>
    <row r="1994" spans="2:14" x14ac:dyDescent="0.2">
      <c r="C1994" t="s">
        <v>598</v>
      </c>
      <c r="D1994" s="20">
        <f>D1986+D1993</f>
        <v>25.550000000000004</v>
      </c>
      <c r="E1994" s="20">
        <f t="shared" ref="E1994:M1994" si="873">E1986+E1993</f>
        <v>28.979999999999997</v>
      </c>
      <c r="F1994" s="20">
        <f t="shared" si="873"/>
        <v>29.33</v>
      </c>
      <c r="G1994" s="20">
        <f t="shared" si="873"/>
        <v>28.909999999999989</v>
      </c>
      <c r="H1994" s="20">
        <f t="shared" si="873"/>
        <v>28.070000000000004</v>
      </c>
      <c r="I1994" s="20">
        <f t="shared" si="873"/>
        <v>27.359999999999992</v>
      </c>
      <c r="J1994" s="20">
        <f t="shared" si="873"/>
        <v>26.92</v>
      </c>
      <c r="K1994" s="20">
        <f t="shared" si="873"/>
        <v>26.549999999999994</v>
      </c>
      <c r="L1994" s="20">
        <f t="shared" si="873"/>
        <v>26.12</v>
      </c>
      <c r="M1994" s="20">
        <f t="shared" si="873"/>
        <v>25.659999999999993</v>
      </c>
      <c r="N1994" s="94">
        <f>N1986+N1993</f>
        <v>28.009999999999998</v>
      </c>
    </row>
    <row r="1995" spans="2:14" x14ac:dyDescent="0.2">
      <c r="N1995" s="92"/>
    </row>
    <row r="1996" spans="2:14" x14ac:dyDescent="0.2">
      <c r="C1996" t="s">
        <v>599</v>
      </c>
      <c r="D1996">
        <v>28.23</v>
      </c>
      <c r="E1996">
        <v>31.64</v>
      </c>
      <c r="F1996">
        <v>32.67</v>
      </c>
      <c r="G1996">
        <v>33.47</v>
      </c>
      <c r="H1996">
        <v>32.619999999999997</v>
      </c>
      <c r="I1996">
        <v>31.92</v>
      </c>
      <c r="J1996">
        <v>31.48</v>
      </c>
      <c r="K1996">
        <v>30.26</v>
      </c>
      <c r="L1996">
        <v>29.54</v>
      </c>
      <c r="M1996">
        <v>29.08</v>
      </c>
      <c r="N1996" s="92">
        <v>30.48</v>
      </c>
    </row>
    <row r="1997" spans="2:14" x14ac:dyDescent="0.2">
      <c r="N1997" s="92"/>
    </row>
    <row r="1998" spans="2:14" x14ac:dyDescent="0.2">
      <c r="N1998" s="92"/>
    </row>
    <row r="1999" spans="2:14" s="2" customFormat="1" ht="15" x14ac:dyDescent="0.25">
      <c r="B1999" s="2" t="s">
        <v>648</v>
      </c>
      <c r="C1999" s="9"/>
      <c r="N1999" s="96"/>
    </row>
    <row r="2000" spans="2:14" s="2" customFormat="1" ht="15" x14ac:dyDescent="0.25">
      <c r="B2000" s="2" t="s">
        <v>631</v>
      </c>
      <c r="N2000" s="96"/>
    </row>
    <row r="2001" spans="2:14" s="2" customFormat="1" ht="15" x14ac:dyDescent="0.25">
      <c r="B2001" s="13" t="s">
        <v>567</v>
      </c>
      <c r="D2001" s="2">
        <v>2000</v>
      </c>
      <c r="E2001" s="2">
        <v>2010</v>
      </c>
      <c r="F2001" s="2">
        <v>2015</v>
      </c>
      <c r="G2001" s="2">
        <v>2020</v>
      </c>
      <c r="H2001" s="2">
        <v>2025</v>
      </c>
      <c r="I2001" s="2">
        <v>2030</v>
      </c>
      <c r="J2001" s="2">
        <v>2035</v>
      </c>
      <c r="K2001" s="2">
        <v>2040</v>
      </c>
      <c r="L2001" s="2">
        <v>2045</v>
      </c>
      <c r="M2001" s="2">
        <v>2050</v>
      </c>
      <c r="N2001" s="96">
        <v>2005</v>
      </c>
    </row>
    <row r="2002" spans="2:14" x14ac:dyDescent="0.2">
      <c r="C2002" t="s">
        <v>568</v>
      </c>
      <c r="D2002">
        <v>38.380000000000003</v>
      </c>
      <c r="E2002">
        <v>35.42</v>
      </c>
      <c r="F2002">
        <v>39</v>
      </c>
      <c r="G2002">
        <v>41.96</v>
      </c>
      <c r="H2002">
        <v>42.35</v>
      </c>
      <c r="I2002">
        <v>42.67</v>
      </c>
      <c r="J2002">
        <v>43.02</v>
      </c>
      <c r="K2002">
        <v>43.44</v>
      </c>
      <c r="L2002">
        <v>43.82</v>
      </c>
      <c r="M2002">
        <v>44.15</v>
      </c>
      <c r="N2002" s="92">
        <v>34.340000000000003</v>
      </c>
    </row>
    <row r="2003" spans="2:14" x14ac:dyDescent="0.2">
      <c r="C2003" t="s">
        <v>633</v>
      </c>
      <c r="D2003">
        <v>38.380000000000003</v>
      </c>
      <c r="E2003">
        <v>35.42</v>
      </c>
      <c r="F2003">
        <v>36.950000000000003</v>
      </c>
      <c r="G2003">
        <v>36.869999999999997</v>
      </c>
      <c r="H2003">
        <v>36.83</v>
      </c>
      <c r="I2003">
        <v>36.75</v>
      </c>
      <c r="J2003">
        <v>36.54</v>
      </c>
      <c r="K2003">
        <v>36.409999999999997</v>
      </c>
      <c r="L2003">
        <v>35.85</v>
      </c>
      <c r="M2003">
        <v>35.57</v>
      </c>
      <c r="N2003" s="92">
        <v>34.340000000000003</v>
      </c>
    </row>
    <row r="2004" spans="2:14" x14ac:dyDescent="0.2">
      <c r="C2004" t="s">
        <v>603</v>
      </c>
      <c r="D2004" t="s">
        <v>3</v>
      </c>
      <c r="E2004" t="s">
        <v>3</v>
      </c>
      <c r="F2004">
        <v>2.0499999999999998</v>
      </c>
      <c r="G2004">
        <v>5.09</v>
      </c>
      <c r="H2004">
        <v>5.52</v>
      </c>
      <c r="I2004">
        <v>5.91</v>
      </c>
      <c r="J2004">
        <v>6.48</v>
      </c>
      <c r="K2004">
        <v>7.02</v>
      </c>
      <c r="L2004">
        <v>7.96</v>
      </c>
      <c r="M2004">
        <v>8.57</v>
      </c>
      <c r="N2004" s="92" t="s">
        <v>3</v>
      </c>
    </row>
    <row r="2005" spans="2:14" x14ac:dyDescent="0.2">
      <c r="C2005" t="s">
        <v>571</v>
      </c>
      <c r="D2005">
        <v>24.73</v>
      </c>
      <c r="E2005">
        <v>25.13</v>
      </c>
      <c r="F2005">
        <v>24.58</v>
      </c>
      <c r="G2005">
        <v>21.68</v>
      </c>
      <c r="H2005">
        <v>15.98</v>
      </c>
      <c r="I2005">
        <v>8.81</v>
      </c>
      <c r="J2005">
        <v>0</v>
      </c>
      <c r="K2005">
        <v>0</v>
      </c>
      <c r="L2005">
        <v>0</v>
      </c>
      <c r="M2005">
        <v>0</v>
      </c>
      <c r="N2005" s="92">
        <v>21.9</v>
      </c>
    </row>
    <row r="2006" spans="2:14" x14ac:dyDescent="0.2">
      <c r="C2006" t="s">
        <v>604</v>
      </c>
      <c r="D2006">
        <v>1.79</v>
      </c>
      <c r="E2006">
        <v>2.1800000000000002</v>
      </c>
      <c r="F2006">
        <v>2.7</v>
      </c>
      <c r="G2006">
        <v>3.13</v>
      </c>
      <c r="H2006">
        <v>3.38</v>
      </c>
      <c r="I2006">
        <v>3.62</v>
      </c>
      <c r="J2006">
        <v>3.58</v>
      </c>
      <c r="K2006">
        <v>3.44</v>
      </c>
      <c r="L2006">
        <v>3.45</v>
      </c>
      <c r="M2006">
        <v>3.45</v>
      </c>
      <c r="N2006" s="92">
        <v>2.0699999999999998</v>
      </c>
    </row>
    <row r="2007" spans="2:14" x14ac:dyDescent="0.2">
      <c r="C2007" t="s">
        <v>605</v>
      </c>
      <c r="D2007">
        <v>1.79</v>
      </c>
      <c r="E2007">
        <v>2.1800000000000002</v>
      </c>
      <c r="F2007">
        <v>1.76</v>
      </c>
      <c r="G2007">
        <v>1.48</v>
      </c>
      <c r="H2007">
        <v>0.92</v>
      </c>
      <c r="I2007">
        <v>0.57999999999999996</v>
      </c>
      <c r="J2007">
        <v>0.32</v>
      </c>
      <c r="K2007" t="s">
        <v>572</v>
      </c>
      <c r="L2007" t="s">
        <v>3</v>
      </c>
      <c r="M2007" t="s">
        <v>3</v>
      </c>
      <c r="N2007" s="92">
        <v>2.0699999999999998</v>
      </c>
    </row>
    <row r="2008" spans="2:14" x14ac:dyDescent="0.2">
      <c r="C2008" t="s">
        <v>606</v>
      </c>
      <c r="D2008" t="s">
        <v>572</v>
      </c>
      <c r="E2008" t="s">
        <v>3</v>
      </c>
      <c r="F2008" t="s">
        <v>3</v>
      </c>
      <c r="G2008" t="s">
        <v>3</v>
      </c>
      <c r="H2008" t="s">
        <v>3</v>
      </c>
      <c r="I2008" t="s">
        <v>3</v>
      </c>
      <c r="J2008" t="s">
        <v>3</v>
      </c>
      <c r="K2008" t="s">
        <v>3</v>
      </c>
      <c r="L2008" t="s">
        <v>3</v>
      </c>
      <c r="M2008" t="s">
        <v>3</v>
      </c>
      <c r="N2008" s="92" t="s">
        <v>572</v>
      </c>
    </row>
    <row r="2009" spans="2:14" x14ac:dyDescent="0.2">
      <c r="C2009" t="s">
        <v>607</v>
      </c>
      <c r="D2009" t="s">
        <v>572</v>
      </c>
      <c r="E2009" t="s">
        <v>3</v>
      </c>
      <c r="F2009">
        <v>0.94</v>
      </c>
      <c r="G2009">
        <v>1.65</v>
      </c>
      <c r="H2009">
        <v>2.4700000000000002</v>
      </c>
      <c r="I2009">
        <v>3.04</v>
      </c>
      <c r="J2009">
        <v>3.26</v>
      </c>
      <c r="K2009">
        <v>3.44</v>
      </c>
      <c r="L2009">
        <v>3.45</v>
      </c>
      <c r="M2009">
        <v>3.45</v>
      </c>
      <c r="N2009" s="92" t="s">
        <v>572</v>
      </c>
    </row>
    <row r="2010" spans="2:14" x14ac:dyDescent="0.2">
      <c r="C2010" t="s">
        <v>608</v>
      </c>
      <c r="D2010">
        <v>0.81</v>
      </c>
      <c r="E2010">
        <v>1.38</v>
      </c>
      <c r="F2010">
        <v>2.36</v>
      </c>
      <c r="G2010">
        <v>3.68</v>
      </c>
      <c r="H2010">
        <v>5.66</v>
      </c>
      <c r="I2010">
        <v>8.24</v>
      </c>
      <c r="J2010">
        <v>11.94</v>
      </c>
      <c r="K2010">
        <v>16.149999999999999</v>
      </c>
      <c r="L2010">
        <v>20.57</v>
      </c>
      <c r="M2010">
        <v>24.22</v>
      </c>
      <c r="N2010" s="92">
        <v>1.01</v>
      </c>
    </row>
    <row r="2011" spans="2:14" x14ac:dyDescent="0.2">
      <c r="C2011" t="s">
        <v>609</v>
      </c>
      <c r="D2011">
        <v>0.81</v>
      </c>
      <c r="E2011">
        <v>1.38</v>
      </c>
      <c r="F2011">
        <v>1.03</v>
      </c>
      <c r="G2011">
        <v>0.92</v>
      </c>
      <c r="H2011">
        <v>0.7</v>
      </c>
      <c r="I2011">
        <v>0.4</v>
      </c>
      <c r="J2011">
        <v>0.1</v>
      </c>
      <c r="K2011">
        <v>0.01</v>
      </c>
      <c r="L2011" t="s">
        <v>3</v>
      </c>
      <c r="M2011" t="s">
        <v>3</v>
      </c>
      <c r="N2011" s="92">
        <v>1.01</v>
      </c>
    </row>
    <row r="2012" spans="2:14" x14ac:dyDescent="0.2">
      <c r="C2012" t="s">
        <v>610</v>
      </c>
      <c r="D2012" t="s">
        <v>572</v>
      </c>
      <c r="E2012" t="s">
        <v>3</v>
      </c>
      <c r="F2012">
        <v>1.34</v>
      </c>
      <c r="G2012">
        <v>2.77</v>
      </c>
      <c r="H2012">
        <v>4.95</v>
      </c>
      <c r="I2012">
        <v>7.84</v>
      </c>
      <c r="J2012">
        <v>11.84</v>
      </c>
      <c r="K2012">
        <v>16.14</v>
      </c>
      <c r="L2012">
        <v>20.57</v>
      </c>
      <c r="M2012">
        <v>24.22</v>
      </c>
      <c r="N2012" s="92" t="s">
        <v>3</v>
      </c>
    </row>
    <row r="2013" spans="2:14" x14ac:dyDescent="0.2">
      <c r="C2013" t="s">
        <v>580</v>
      </c>
      <c r="D2013">
        <v>0.01</v>
      </c>
      <c r="E2013">
        <v>0.08</v>
      </c>
      <c r="F2013">
        <v>0.28000000000000003</v>
      </c>
      <c r="G2013">
        <v>0.52</v>
      </c>
      <c r="H2013">
        <v>0.98</v>
      </c>
      <c r="I2013">
        <v>1.91</v>
      </c>
      <c r="J2013">
        <v>4.4400000000000004</v>
      </c>
      <c r="K2013">
        <v>6.74</v>
      </c>
      <c r="L2013">
        <v>9.23</v>
      </c>
      <c r="M2013">
        <v>11.12</v>
      </c>
      <c r="N2013" s="92">
        <v>0.02</v>
      </c>
    </row>
    <row r="2014" spans="2:14" x14ac:dyDescent="0.2">
      <c r="C2014" t="s">
        <v>581</v>
      </c>
      <c r="D2014">
        <v>0</v>
      </c>
      <c r="E2014">
        <v>0.04</v>
      </c>
      <c r="F2014">
        <v>0.35</v>
      </c>
      <c r="G2014">
        <v>0.66</v>
      </c>
      <c r="H2014">
        <v>0.99</v>
      </c>
      <c r="I2014">
        <v>1.46</v>
      </c>
      <c r="J2014">
        <v>1.76</v>
      </c>
      <c r="K2014">
        <v>2.59</v>
      </c>
      <c r="L2014">
        <v>3.43</v>
      </c>
      <c r="M2014">
        <v>4.26</v>
      </c>
      <c r="N2014" s="92">
        <v>0.01</v>
      </c>
    </row>
    <row r="2015" spans="2:14" x14ac:dyDescent="0.2">
      <c r="C2015" t="s">
        <v>582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 s="92">
        <v>0</v>
      </c>
    </row>
    <row r="2016" spans="2:14" x14ac:dyDescent="0.2">
      <c r="C2016" t="s">
        <v>47</v>
      </c>
      <c r="D2016" t="s">
        <v>572</v>
      </c>
      <c r="E2016" t="s">
        <v>3</v>
      </c>
      <c r="F2016">
        <v>0.1</v>
      </c>
      <c r="G2016">
        <v>0.2</v>
      </c>
      <c r="H2016">
        <v>0.39</v>
      </c>
      <c r="I2016">
        <v>0.78</v>
      </c>
      <c r="J2016">
        <v>1.43</v>
      </c>
      <c r="K2016">
        <v>2.41</v>
      </c>
      <c r="L2016">
        <v>3.48</v>
      </c>
      <c r="M2016">
        <v>4.3899999999999997</v>
      </c>
      <c r="N2016" s="92" t="s">
        <v>572</v>
      </c>
    </row>
    <row r="2017" spans="3:14" x14ac:dyDescent="0.2">
      <c r="C2017" t="s">
        <v>583</v>
      </c>
      <c r="D2017">
        <v>0.01</v>
      </c>
      <c r="E2017">
        <v>0.14000000000000001</v>
      </c>
      <c r="F2017">
        <v>0.33</v>
      </c>
      <c r="G2017">
        <v>0.6</v>
      </c>
      <c r="H2017">
        <v>0.97</v>
      </c>
      <c r="I2017">
        <v>1.21</v>
      </c>
      <c r="J2017">
        <v>1.21</v>
      </c>
      <c r="K2017">
        <v>1.23</v>
      </c>
      <c r="L2017">
        <v>1.23</v>
      </c>
      <c r="M2017">
        <v>1.24</v>
      </c>
      <c r="N2017" s="92">
        <v>0.03</v>
      </c>
    </row>
    <row r="2018" spans="3:14" x14ac:dyDescent="0.2">
      <c r="C2018" t="s">
        <v>584</v>
      </c>
      <c r="D2018">
        <v>0.01</v>
      </c>
      <c r="E2018">
        <v>0.08</v>
      </c>
      <c r="F2018">
        <v>0.21</v>
      </c>
      <c r="G2018">
        <v>0.46</v>
      </c>
      <c r="H2018">
        <v>0.88</v>
      </c>
      <c r="I2018">
        <v>1.29</v>
      </c>
      <c r="J2018">
        <v>1.48</v>
      </c>
      <c r="K2018">
        <v>1.55</v>
      </c>
      <c r="L2018">
        <v>1.58</v>
      </c>
      <c r="M2018">
        <v>1.58</v>
      </c>
      <c r="N2018" s="92">
        <v>0.02</v>
      </c>
    </row>
    <row r="2019" spans="3:14" x14ac:dyDescent="0.2">
      <c r="C2019" t="s">
        <v>585</v>
      </c>
      <c r="D2019">
        <v>0.09</v>
      </c>
      <c r="E2019">
        <v>0.12</v>
      </c>
      <c r="F2019">
        <v>0.1</v>
      </c>
      <c r="G2019">
        <v>0.16</v>
      </c>
      <c r="H2019">
        <v>0.22</v>
      </c>
      <c r="I2019">
        <v>0.27</v>
      </c>
      <c r="J2019">
        <v>0.28999999999999998</v>
      </c>
      <c r="K2019">
        <v>0.28999999999999998</v>
      </c>
      <c r="L2019">
        <v>0.3</v>
      </c>
      <c r="M2019">
        <v>0.3</v>
      </c>
      <c r="N2019" s="92">
        <v>0.11</v>
      </c>
    </row>
    <row r="2020" spans="3:14" x14ac:dyDescent="0.2">
      <c r="C2020" t="s">
        <v>586</v>
      </c>
      <c r="D2020">
        <v>0.63</v>
      </c>
      <c r="E2020">
        <v>0.92</v>
      </c>
      <c r="F2020">
        <v>0.99</v>
      </c>
      <c r="G2020">
        <v>1.1000000000000001</v>
      </c>
      <c r="H2020">
        <v>1.23</v>
      </c>
      <c r="I2020">
        <v>1.32</v>
      </c>
      <c r="J2020">
        <v>1.32</v>
      </c>
      <c r="K2020">
        <v>1.33</v>
      </c>
      <c r="L2020">
        <v>1.33</v>
      </c>
      <c r="M2020">
        <v>1.33</v>
      </c>
      <c r="N2020" s="92">
        <v>0.8</v>
      </c>
    </row>
    <row r="2021" spans="3:14" x14ac:dyDescent="0.2">
      <c r="C2021" t="s">
        <v>587</v>
      </c>
      <c r="D2021">
        <v>0.04</v>
      </c>
      <c r="E2021">
        <v>0</v>
      </c>
      <c r="F2021">
        <v>0.01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 s="92">
        <v>0.02</v>
      </c>
    </row>
    <row r="2022" spans="3:14" x14ac:dyDescent="0.2">
      <c r="C2022" t="s">
        <v>588</v>
      </c>
      <c r="D2022" s="20">
        <f t="shared" ref="D2022:I2022" si="874">D2002+D2005+D2006+D2010</f>
        <v>65.710000000000008</v>
      </c>
      <c r="E2022" s="20">
        <f t="shared" si="874"/>
        <v>64.11</v>
      </c>
      <c r="F2022" s="20">
        <f t="shared" si="874"/>
        <v>68.64</v>
      </c>
      <c r="G2022" s="20">
        <f t="shared" si="874"/>
        <v>70.45</v>
      </c>
      <c r="H2022" s="20">
        <f t="shared" si="874"/>
        <v>67.37</v>
      </c>
      <c r="I2022" s="20">
        <f t="shared" si="874"/>
        <v>63.34</v>
      </c>
      <c r="J2022" s="20">
        <f>J2002+J2006+J2010</f>
        <v>58.54</v>
      </c>
      <c r="K2022" s="20">
        <f>K2002+K2006+K2010</f>
        <v>63.029999999999994</v>
      </c>
      <c r="L2022" s="20">
        <f>L2002+L2006+L2010</f>
        <v>67.84</v>
      </c>
      <c r="M2022" s="20">
        <f>M2002+M2006+M2010</f>
        <v>71.819999999999993</v>
      </c>
      <c r="N2022" s="94">
        <f>N2002+N2005+N2006+N2010</f>
        <v>59.32</v>
      </c>
    </row>
    <row r="2023" spans="3:14" x14ac:dyDescent="0.2">
      <c r="C2023" t="s">
        <v>589</v>
      </c>
      <c r="D2023">
        <v>-2.2200000000000002</v>
      </c>
      <c r="E2023">
        <v>-2.56</v>
      </c>
      <c r="F2023">
        <v>-4.34</v>
      </c>
      <c r="G2023">
        <v>-7.54</v>
      </c>
      <c r="H2023">
        <v>-7.54</v>
      </c>
      <c r="I2023">
        <v>-7.54</v>
      </c>
      <c r="J2023">
        <v>-7.54</v>
      </c>
      <c r="K2023">
        <v>-7.54</v>
      </c>
      <c r="L2023">
        <v>-7.54</v>
      </c>
      <c r="M2023">
        <v>-7.54</v>
      </c>
      <c r="N2023" s="92">
        <v>-2.2200000000000002</v>
      </c>
    </row>
    <row r="2024" spans="3:14" x14ac:dyDescent="0.2">
      <c r="C2024" s="14" t="s">
        <v>590</v>
      </c>
      <c r="D2024" s="32">
        <f>D2022+D2023</f>
        <v>63.490000000000009</v>
      </c>
      <c r="E2024" s="32">
        <f t="shared" ref="E2024:M2024" si="875">E2022+E2023</f>
        <v>61.55</v>
      </c>
      <c r="F2024" s="32">
        <f t="shared" si="875"/>
        <v>64.3</v>
      </c>
      <c r="G2024" s="32">
        <f t="shared" si="875"/>
        <v>62.910000000000004</v>
      </c>
      <c r="H2024" s="32">
        <f t="shared" si="875"/>
        <v>59.830000000000005</v>
      </c>
      <c r="I2024" s="32">
        <f t="shared" si="875"/>
        <v>55.800000000000004</v>
      </c>
      <c r="J2024" s="32">
        <f t="shared" si="875"/>
        <v>51</v>
      </c>
      <c r="K2024" s="32">
        <f t="shared" si="875"/>
        <v>55.489999999999995</v>
      </c>
      <c r="L2024" s="32">
        <f t="shared" si="875"/>
        <v>60.300000000000004</v>
      </c>
      <c r="M2024" s="32">
        <f t="shared" si="875"/>
        <v>64.279999999999987</v>
      </c>
      <c r="N2024" s="95">
        <f>N2022+N2023</f>
        <v>57.1</v>
      </c>
    </row>
    <row r="2025" spans="3:14" x14ac:dyDescent="0.2">
      <c r="C2025" t="s">
        <v>591</v>
      </c>
      <c r="D2025">
        <v>18.72</v>
      </c>
      <c r="E2025">
        <v>17.239999999999998</v>
      </c>
      <c r="F2025">
        <v>17.239999999999998</v>
      </c>
      <c r="G2025">
        <v>10.06</v>
      </c>
      <c r="H2025">
        <v>9.92</v>
      </c>
      <c r="I2025">
        <v>11.52</v>
      </c>
      <c r="J2025">
        <v>11.74</v>
      </c>
      <c r="K2025">
        <v>8.14</v>
      </c>
      <c r="L2025">
        <v>4.7699999999999996</v>
      </c>
      <c r="M2025">
        <v>2.56</v>
      </c>
      <c r="N2025" s="92">
        <v>17.98</v>
      </c>
    </row>
    <row r="2026" spans="3:14" x14ac:dyDescent="0.2">
      <c r="C2026" t="s">
        <v>592</v>
      </c>
      <c r="D2026">
        <v>18.72</v>
      </c>
      <c r="E2026">
        <v>17.239999999999998</v>
      </c>
      <c r="F2026">
        <v>17.239999999999998</v>
      </c>
      <c r="G2026">
        <v>10.06</v>
      </c>
      <c r="H2026">
        <v>8.42</v>
      </c>
      <c r="I2026">
        <v>8.42</v>
      </c>
      <c r="J2026">
        <v>2.61</v>
      </c>
      <c r="K2026">
        <v>1.3</v>
      </c>
      <c r="L2026" t="s">
        <v>572</v>
      </c>
      <c r="M2026" t="s">
        <v>3</v>
      </c>
      <c r="N2026" s="92">
        <v>17.98</v>
      </c>
    </row>
    <row r="2027" spans="3:14" x14ac:dyDescent="0.2">
      <c r="C2027" t="s">
        <v>593</v>
      </c>
      <c r="D2027" t="s">
        <v>572</v>
      </c>
      <c r="E2027" t="s">
        <v>3</v>
      </c>
      <c r="F2027" t="s">
        <v>3</v>
      </c>
      <c r="G2027" t="s">
        <v>3</v>
      </c>
      <c r="H2027">
        <v>1.49</v>
      </c>
      <c r="I2027">
        <v>3.09</v>
      </c>
      <c r="J2027">
        <v>9.1300000000000008</v>
      </c>
      <c r="K2027">
        <v>6.84</v>
      </c>
      <c r="L2027">
        <v>4.7699999999999996</v>
      </c>
      <c r="M2027">
        <v>2.56</v>
      </c>
      <c r="N2027" s="92" t="s">
        <v>3</v>
      </c>
    </row>
    <row r="2028" spans="3:14" x14ac:dyDescent="0.2">
      <c r="C2028" t="s">
        <v>594</v>
      </c>
      <c r="D2028">
        <v>26.07</v>
      </c>
      <c r="E2028">
        <v>15.19</v>
      </c>
      <c r="F2028">
        <v>16.989999999999998</v>
      </c>
      <c r="G2028">
        <v>9.17</v>
      </c>
      <c r="H2028">
        <v>7.65</v>
      </c>
      <c r="I2028">
        <v>6.58</v>
      </c>
      <c r="J2028">
        <v>2.82</v>
      </c>
      <c r="K2028">
        <v>4.4000000000000004</v>
      </c>
      <c r="L2028">
        <v>6.63</v>
      </c>
      <c r="M2028">
        <v>9.27</v>
      </c>
      <c r="N2028" s="92">
        <v>13.75</v>
      </c>
    </row>
    <row r="2029" spans="3:14" x14ac:dyDescent="0.2">
      <c r="C2029" t="s">
        <v>612</v>
      </c>
      <c r="D2029">
        <v>2.83</v>
      </c>
      <c r="E2029">
        <v>2.2599999999999998</v>
      </c>
      <c r="F2029">
        <v>2.2599999999999998</v>
      </c>
      <c r="G2029">
        <v>2.2599999999999998</v>
      </c>
      <c r="H2029">
        <v>2.2599999999999998</v>
      </c>
      <c r="I2029">
        <v>2.2599999999999998</v>
      </c>
      <c r="J2029">
        <v>2.2599999999999998</v>
      </c>
      <c r="K2029">
        <v>0.66</v>
      </c>
      <c r="L2029" t="s">
        <v>572</v>
      </c>
      <c r="M2029" t="s">
        <v>3</v>
      </c>
      <c r="N2029" s="92">
        <v>2.2599999999999998</v>
      </c>
    </row>
    <row r="2030" spans="3:14" x14ac:dyDescent="0.2">
      <c r="C2030" t="s">
        <v>596</v>
      </c>
      <c r="D2030">
        <v>23.24</v>
      </c>
      <c r="E2030">
        <v>12.93</v>
      </c>
      <c r="F2030">
        <v>14.73</v>
      </c>
      <c r="G2030">
        <v>6.91</v>
      </c>
      <c r="H2030">
        <v>5.39</v>
      </c>
      <c r="I2030">
        <v>4.32</v>
      </c>
      <c r="J2030">
        <v>0.56000000000000005</v>
      </c>
      <c r="K2030">
        <v>3.74</v>
      </c>
      <c r="L2030">
        <v>6.63</v>
      </c>
      <c r="M2030">
        <v>9.27</v>
      </c>
      <c r="N2030" s="92">
        <v>11.49</v>
      </c>
    </row>
    <row r="2031" spans="3:14" x14ac:dyDescent="0.2">
      <c r="C2031" s="14" t="s">
        <v>597</v>
      </c>
      <c r="D2031" s="32">
        <f>D2025-D2028</f>
        <v>-7.3500000000000014</v>
      </c>
      <c r="E2031" s="32">
        <f t="shared" ref="E2031:M2031" si="876">E2025-E2028</f>
        <v>2.0499999999999989</v>
      </c>
      <c r="F2031" s="32">
        <f t="shared" si="876"/>
        <v>0.25</v>
      </c>
      <c r="G2031" s="32">
        <f t="shared" si="876"/>
        <v>0.89000000000000057</v>
      </c>
      <c r="H2031" s="32">
        <f t="shared" si="876"/>
        <v>2.2699999999999996</v>
      </c>
      <c r="I2031" s="32">
        <f t="shared" si="876"/>
        <v>4.9399999999999995</v>
      </c>
      <c r="J2031" s="32">
        <f t="shared" si="876"/>
        <v>8.92</v>
      </c>
      <c r="K2031" s="32">
        <f t="shared" si="876"/>
        <v>3.74</v>
      </c>
      <c r="L2031" s="32">
        <f t="shared" si="876"/>
        <v>-1.8600000000000003</v>
      </c>
      <c r="M2031" s="32">
        <f t="shared" si="876"/>
        <v>-6.7099999999999991</v>
      </c>
      <c r="N2031" s="95">
        <f>N2025-N2028</f>
        <v>4.2300000000000004</v>
      </c>
    </row>
    <row r="2032" spans="3:14" x14ac:dyDescent="0.2">
      <c r="C2032" t="s">
        <v>598</v>
      </c>
      <c r="D2032" s="20">
        <f>D2024+D2031</f>
        <v>56.140000000000008</v>
      </c>
      <c r="E2032" s="20">
        <f t="shared" ref="E2032:M2032" si="877">E2024+E2031</f>
        <v>63.599999999999994</v>
      </c>
      <c r="F2032" s="20">
        <f t="shared" si="877"/>
        <v>64.55</v>
      </c>
      <c r="G2032" s="20">
        <f t="shared" si="877"/>
        <v>63.800000000000004</v>
      </c>
      <c r="H2032" s="20">
        <f t="shared" si="877"/>
        <v>62.100000000000009</v>
      </c>
      <c r="I2032" s="20">
        <f t="shared" si="877"/>
        <v>60.74</v>
      </c>
      <c r="J2032" s="20">
        <f t="shared" si="877"/>
        <v>59.92</v>
      </c>
      <c r="K2032" s="20">
        <f t="shared" si="877"/>
        <v>59.23</v>
      </c>
      <c r="L2032" s="20">
        <f t="shared" si="877"/>
        <v>58.440000000000005</v>
      </c>
      <c r="M2032" s="20">
        <f t="shared" si="877"/>
        <v>57.569999999999986</v>
      </c>
      <c r="N2032" s="94">
        <f>N2024+N2031</f>
        <v>61.33</v>
      </c>
    </row>
    <row r="2033" spans="2:14" x14ac:dyDescent="0.2">
      <c r="N2033" s="92"/>
    </row>
    <row r="2034" spans="2:14" x14ac:dyDescent="0.2">
      <c r="C2034" t="s">
        <v>599</v>
      </c>
      <c r="D2034">
        <v>61.18</v>
      </c>
      <c r="E2034">
        <v>68.41</v>
      </c>
      <c r="F2034">
        <v>71.14</v>
      </c>
      <c r="G2034">
        <v>73.61</v>
      </c>
      <c r="H2034">
        <v>71.900000000000006</v>
      </c>
      <c r="I2034">
        <v>70.52</v>
      </c>
      <c r="J2034">
        <v>69.709999999999994</v>
      </c>
      <c r="K2034">
        <v>67.42</v>
      </c>
      <c r="L2034">
        <v>65.98</v>
      </c>
      <c r="M2034">
        <v>65.099999999999994</v>
      </c>
      <c r="N2034" s="92">
        <v>65.81</v>
      </c>
    </row>
    <row r="2035" spans="2:14" x14ac:dyDescent="0.2">
      <c r="N2035" s="92"/>
    </row>
    <row r="2036" spans="2:14" x14ac:dyDescent="0.2">
      <c r="N2036" s="92"/>
    </row>
    <row r="2037" spans="2:14" s="2" customFormat="1" ht="15" x14ac:dyDescent="0.25">
      <c r="B2037" s="2" t="s">
        <v>648</v>
      </c>
      <c r="C2037" s="9"/>
      <c r="N2037" s="96"/>
    </row>
    <row r="2038" spans="2:14" s="2" customFormat="1" ht="15" x14ac:dyDescent="0.25">
      <c r="B2038" s="2" t="s">
        <v>600</v>
      </c>
      <c r="N2038" s="96"/>
    </row>
    <row r="2039" spans="2:14" s="2" customFormat="1" ht="15" x14ac:dyDescent="0.25">
      <c r="B2039" s="13" t="s">
        <v>601</v>
      </c>
      <c r="D2039" s="2">
        <v>2000</v>
      </c>
      <c r="E2039" s="2">
        <v>2010</v>
      </c>
      <c r="F2039" s="2">
        <v>2015</v>
      </c>
      <c r="G2039" s="2">
        <v>2020</v>
      </c>
      <c r="H2039" s="2">
        <v>2025</v>
      </c>
      <c r="I2039" s="2">
        <v>2030</v>
      </c>
      <c r="J2039" s="2">
        <v>2035</v>
      </c>
      <c r="K2039" s="2">
        <v>2040</v>
      </c>
      <c r="L2039" s="2">
        <v>2045</v>
      </c>
      <c r="M2039" s="2">
        <v>2050</v>
      </c>
      <c r="N2039" s="96">
        <v>2005</v>
      </c>
    </row>
    <row r="2040" spans="2:14" x14ac:dyDescent="0.2">
      <c r="C2040" t="s">
        <v>568</v>
      </c>
      <c r="D2040">
        <v>17.71</v>
      </c>
      <c r="E2040">
        <v>14.16</v>
      </c>
      <c r="F2040">
        <v>17.079999999999998</v>
      </c>
      <c r="G2040">
        <v>18.98</v>
      </c>
      <c r="H2040">
        <v>19.3</v>
      </c>
      <c r="I2040">
        <v>19.59</v>
      </c>
      <c r="J2040">
        <v>19.89</v>
      </c>
      <c r="K2040">
        <v>20.22</v>
      </c>
      <c r="L2040">
        <v>20.53</v>
      </c>
      <c r="M2040">
        <v>20.86</v>
      </c>
      <c r="N2040" s="92">
        <v>15.56</v>
      </c>
    </row>
    <row r="2041" spans="2:14" x14ac:dyDescent="0.2">
      <c r="C2041" t="s">
        <v>633</v>
      </c>
      <c r="D2041">
        <v>17.71</v>
      </c>
      <c r="E2041">
        <v>14.16</v>
      </c>
      <c r="F2041">
        <v>15.95</v>
      </c>
      <c r="G2041">
        <v>16.09</v>
      </c>
      <c r="H2041">
        <v>16.239999999999998</v>
      </c>
      <c r="I2041">
        <v>16.39</v>
      </c>
      <c r="J2041">
        <v>16.47</v>
      </c>
      <c r="K2041">
        <v>16.59</v>
      </c>
      <c r="L2041">
        <v>16.53</v>
      </c>
      <c r="M2041">
        <v>16.63</v>
      </c>
      <c r="N2041" s="92">
        <v>15.56</v>
      </c>
    </row>
    <row r="2042" spans="2:14" x14ac:dyDescent="0.2">
      <c r="C2042" t="s">
        <v>603</v>
      </c>
      <c r="D2042" t="s">
        <v>3</v>
      </c>
      <c r="E2042" t="s">
        <v>3</v>
      </c>
      <c r="F2042">
        <v>1.1299999999999999</v>
      </c>
      <c r="G2042">
        <v>2.89</v>
      </c>
      <c r="H2042">
        <v>3.05</v>
      </c>
      <c r="I2042">
        <v>3.2</v>
      </c>
      <c r="J2042">
        <v>3.42</v>
      </c>
      <c r="K2042">
        <v>3.62</v>
      </c>
      <c r="L2042">
        <v>4</v>
      </c>
      <c r="M2042">
        <v>4.2300000000000004</v>
      </c>
      <c r="N2042" s="92" t="s">
        <v>3</v>
      </c>
    </row>
    <row r="2043" spans="2:14" x14ac:dyDescent="0.2">
      <c r="C2043" t="s">
        <v>571</v>
      </c>
      <c r="D2043">
        <v>13.72</v>
      </c>
      <c r="E2043">
        <v>14.17</v>
      </c>
      <c r="F2043">
        <v>13.5</v>
      </c>
      <c r="G2043">
        <v>11.91</v>
      </c>
      <c r="H2043">
        <v>8.7799999999999994</v>
      </c>
      <c r="I2043">
        <v>4.84</v>
      </c>
      <c r="J2043">
        <v>0</v>
      </c>
      <c r="K2043">
        <v>0</v>
      </c>
      <c r="L2043">
        <v>0</v>
      </c>
      <c r="M2043">
        <v>0</v>
      </c>
      <c r="N2043" s="92">
        <v>13.94</v>
      </c>
    </row>
    <row r="2044" spans="2:14" x14ac:dyDescent="0.2">
      <c r="C2044" t="s">
        <v>604</v>
      </c>
      <c r="D2044">
        <v>1.1100000000000001</v>
      </c>
      <c r="E2044">
        <v>1.3</v>
      </c>
      <c r="F2044">
        <v>1.63</v>
      </c>
      <c r="G2044">
        <v>1.9</v>
      </c>
      <c r="H2044">
        <v>2.08</v>
      </c>
      <c r="I2044">
        <v>2.2400000000000002</v>
      </c>
      <c r="J2044">
        <v>2.2000000000000002</v>
      </c>
      <c r="K2044">
        <v>2.13</v>
      </c>
      <c r="L2044">
        <v>2.14</v>
      </c>
      <c r="M2044">
        <v>2.14</v>
      </c>
      <c r="N2044" s="92">
        <v>1.25</v>
      </c>
    </row>
    <row r="2045" spans="2:14" x14ac:dyDescent="0.2">
      <c r="C2045" t="s">
        <v>605</v>
      </c>
      <c r="D2045">
        <v>1.1100000000000001</v>
      </c>
      <c r="E2045">
        <v>1.3</v>
      </c>
      <c r="F2045">
        <v>1.05</v>
      </c>
      <c r="G2045">
        <v>0.86</v>
      </c>
      <c r="H2045">
        <v>0.53</v>
      </c>
      <c r="I2045">
        <v>0.34</v>
      </c>
      <c r="J2045">
        <v>0.18</v>
      </c>
      <c r="K2045" t="s">
        <v>572</v>
      </c>
      <c r="L2045" t="s">
        <v>3</v>
      </c>
      <c r="M2045" t="s">
        <v>3</v>
      </c>
      <c r="N2045" s="92">
        <v>1.25</v>
      </c>
    </row>
    <row r="2046" spans="2:14" x14ac:dyDescent="0.2">
      <c r="C2046" t="s">
        <v>606</v>
      </c>
      <c r="D2046" t="s">
        <v>572</v>
      </c>
      <c r="E2046" t="s">
        <v>3</v>
      </c>
      <c r="F2046" t="s">
        <v>3</v>
      </c>
      <c r="G2046" t="s">
        <v>3</v>
      </c>
      <c r="H2046" t="s">
        <v>3</v>
      </c>
      <c r="I2046" t="s">
        <v>3</v>
      </c>
      <c r="J2046" t="s">
        <v>3</v>
      </c>
      <c r="K2046" t="s">
        <v>3</v>
      </c>
      <c r="L2046" t="s">
        <v>3</v>
      </c>
      <c r="M2046" t="s">
        <v>3</v>
      </c>
      <c r="N2046" s="92" t="s">
        <v>572</v>
      </c>
    </row>
    <row r="2047" spans="2:14" x14ac:dyDescent="0.2">
      <c r="C2047" t="s">
        <v>607</v>
      </c>
      <c r="D2047" t="s">
        <v>572</v>
      </c>
      <c r="E2047" t="s">
        <v>3</v>
      </c>
      <c r="F2047">
        <v>0.57999999999999996</v>
      </c>
      <c r="G2047">
        <v>1.04</v>
      </c>
      <c r="H2047">
        <v>1.55</v>
      </c>
      <c r="I2047">
        <v>1.9</v>
      </c>
      <c r="J2047">
        <v>2.0299999999999998</v>
      </c>
      <c r="K2047">
        <v>2.13</v>
      </c>
      <c r="L2047">
        <v>2.14</v>
      </c>
      <c r="M2047">
        <v>2.14</v>
      </c>
      <c r="N2047" s="92" t="s">
        <v>572</v>
      </c>
    </row>
    <row r="2048" spans="2:14" x14ac:dyDescent="0.2">
      <c r="C2048" t="s">
        <v>608</v>
      </c>
      <c r="D2048">
        <v>0.45</v>
      </c>
      <c r="E2048">
        <v>0.76</v>
      </c>
      <c r="F2048">
        <v>1.3</v>
      </c>
      <c r="G2048">
        <v>2.02</v>
      </c>
      <c r="H2048">
        <v>3.06</v>
      </c>
      <c r="I2048">
        <v>4.28</v>
      </c>
      <c r="J2048">
        <v>5.6</v>
      </c>
      <c r="K2048">
        <v>7.27</v>
      </c>
      <c r="L2048">
        <v>8.99</v>
      </c>
      <c r="M2048">
        <v>10.47</v>
      </c>
      <c r="N2048" s="92">
        <v>0.55000000000000004</v>
      </c>
    </row>
    <row r="2049" spans="3:14" x14ac:dyDescent="0.2">
      <c r="C2049" t="s">
        <v>609</v>
      </c>
      <c r="D2049">
        <v>0.45</v>
      </c>
      <c r="E2049">
        <v>0.76</v>
      </c>
      <c r="F2049">
        <v>0.56000000000000005</v>
      </c>
      <c r="G2049">
        <v>0.5</v>
      </c>
      <c r="H2049">
        <v>0.38</v>
      </c>
      <c r="I2049">
        <v>0.21</v>
      </c>
      <c r="J2049">
        <v>0.05</v>
      </c>
      <c r="K2049">
        <v>0</v>
      </c>
      <c r="L2049" t="s">
        <v>3</v>
      </c>
      <c r="M2049" t="s">
        <v>3</v>
      </c>
      <c r="N2049" s="92">
        <v>0.55000000000000004</v>
      </c>
    </row>
    <row r="2050" spans="3:14" x14ac:dyDescent="0.2">
      <c r="C2050" t="s">
        <v>610</v>
      </c>
      <c r="D2050" t="s">
        <v>572</v>
      </c>
      <c r="E2050" t="s">
        <v>3</v>
      </c>
      <c r="F2050">
        <v>0.74</v>
      </c>
      <c r="G2050">
        <v>1.52</v>
      </c>
      <c r="H2050">
        <v>2.68</v>
      </c>
      <c r="I2050">
        <v>4.07</v>
      </c>
      <c r="J2050">
        <v>5.54</v>
      </c>
      <c r="K2050">
        <v>7.26</v>
      </c>
      <c r="L2050">
        <v>8.99</v>
      </c>
      <c r="M2050">
        <v>10.47</v>
      </c>
      <c r="N2050" s="92" t="s">
        <v>3</v>
      </c>
    </row>
    <row r="2051" spans="3:14" x14ac:dyDescent="0.2">
      <c r="C2051" t="s">
        <v>580</v>
      </c>
      <c r="D2051">
        <v>0</v>
      </c>
      <c r="E2051">
        <v>0.02</v>
      </c>
      <c r="F2051">
        <v>0.08</v>
      </c>
      <c r="G2051">
        <v>0.14000000000000001</v>
      </c>
      <c r="H2051">
        <v>0.26</v>
      </c>
      <c r="I2051">
        <v>0.52</v>
      </c>
      <c r="J2051">
        <v>1.2</v>
      </c>
      <c r="K2051">
        <v>1.82</v>
      </c>
      <c r="L2051">
        <v>2.4900000000000002</v>
      </c>
      <c r="M2051">
        <v>3</v>
      </c>
      <c r="N2051" s="92">
        <v>0.01</v>
      </c>
    </row>
    <row r="2052" spans="3:14" x14ac:dyDescent="0.2">
      <c r="C2052" t="s">
        <v>581</v>
      </c>
      <c r="D2052">
        <v>0</v>
      </c>
      <c r="E2052">
        <v>0.02</v>
      </c>
      <c r="F2052">
        <v>0.21</v>
      </c>
      <c r="G2052">
        <v>0.4</v>
      </c>
      <c r="H2052">
        <v>0.59</v>
      </c>
      <c r="I2052">
        <v>0.88</v>
      </c>
      <c r="J2052">
        <v>1.06</v>
      </c>
      <c r="K2052">
        <v>1.56</v>
      </c>
      <c r="L2052">
        <v>2.06</v>
      </c>
      <c r="M2052">
        <v>2.56</v>
      </c>
      <c r="N2052" s="92">
        <v>0.01</v>
      </c>
    </row>
    <row r="2053" spans="3:14" x14ac:dyDescent="0.2">
      <c r="C2053" t="s">
        <v>582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 s="92">
        <v>0</v>
      </c>
    </row>
    <row r="2054" spans="3:14" x14ac:dyDescent="0.2">
      <c r="C2054" t="s">
        <v>47</v>
      </c>
      <c r="D2054" t="s">
        <v>572</v>
      </c>
      <c r="E2054" t="s">
        <v>3</v>
      </c>
      <c r="F2054">
        <v>0.05</v>
      </c>
      <c r="G2054">
        <v>0.1</v>
      </c>
      <c r="H2054">
        <v>0.2</v>
      </c>
      <c r="I2054">
        <v>0.39</v>
      </c>
      <c r="J2054">
        <v>0.72</v>
      </c>
      <c r="K2054">
        <v>1.2</v>
      </c>
      <c r="L2054">
        <v>1.74</v>
      </c>
      <c r="M2054">
        <v>2.19</v>
      </c>
      <c r="N2054" s="92" t="s">
        <v>572</v>
      </c>
    </row>
    <row r="2055" spans="3:14" x14ac:dyDescent="0.2">
      <c r="C2055" t="s">
        <v>583</v>
      </c>
      <c r="D2055">
        <v>0.01</v>
      </c>
      <c r="E2055">
        <v>0.09</v>
      </c>
      <c r="F2055">
        <v>0.23</v>
      </c>
      <c r="G2055">
        <v>0.41</v>
      </c>
      <c r="H2055">
        <v>0.66</v>
      </c>
      <c r="I2055">
        <v>0.82</v>
      </c>
      <c r="J2055">
        <v>0.82</v>
      </c>
      <c r="K2055">
        <v>0.83</v>
      </c>
      <c r="L2055">
        <v>0.83</v>
      </c>
      <c r="M2055">
        <v>0.84</v>
      </c>
      <c r="N2055" s="92">
        <v>0.02</v>
      </c>
    </row>
    <row r="2056" spans="3:14" x14ac:dyDescent="0.2">
      <c r="C2056" t="s">
        <v>584</v>
      </c>
      <c r="D2056">
        <v>0.01</v>
      </c>
      <c r="E2056">
        <v>0.05</v>
      </c>
      <c r="F2056">
        <v>0.13</v>
      </c>
      <c r="G2056">
        <v>0.28000000000000003</v>
      </c>
      <c r="H2056">
        <v>0.54</v>
      </c>
      <c r="I2056">
        <v>0.79</v>
      </c>
      <c r="J2056">
        <v>0.91</v>
      </c>
      <c r="K2056">
        <v>0.95</v>
      </c>
      <c r="L2056">
        <v>0.97</v>
      </c>
      <c r="M2056">
        <v>0.97</v>
      </c>
      <c r="N2056" s="92">
        <v>0.01</v>
      </c>
    </row>
    <row r="2057" spans="3:14" x14ac:dyDescent="0.2">
      <c r="C2057" t="s">
        <v>585</v>
      </c>
      <c r="D2057">
        <v>0.05</v>
      </c>
      <c r="E2057">
        <v>7.0000000000000007E-2</v>
      </c>
      <c r="F2057">
        <v>0.06</v>
      </c>
      <c r="G2057">
        <v>0.09</v>
      </c>
      <c r="H2057">
        <v>0.13</v>
      </c>
      <c r="I2057">
        <v>0.16</v>
      </c>
      <c r="J2057">
        <v>0.17</v>
      </c>
      <c r="K2057">
        <v>0.17</v>
      </c>
      <c r="L2057">
        <v>0.18</v>
      </c>
      <c r="M2057">
        <v>0.18</v>
      </c>
      <c r="N2057" s="92">
        <v>0.06</v>
      </c>
    </row>
    <row r="2058" spans="3:14" x14ac:dyDescent="0.2">
      <c r="C2058" t="s">
        <v>586</v>
      </c>
      <c r="D2058">
        <v>0.35</v>
      </c>
      <c r="E2058">
        <v>0.51</v>
      </c>
      <c r="F2058">
        <v>0.54</v>
      </c>
      <c r="G2058">
        <v>0.6</v>
      </c>
      <c r="H2058">
        <v>0.68</v>
      </c>
      <c r="I2058">
        <v>0.73</v>
      </c>
      <c r="J2058">
        <v>0.73</v>
      </c>
      <c r="K2058">
        <v>0.73</v>
      </c>
      <c r="L2058">
        <v>0.73</v>
      </c>
      <c r="M2058">
        <v>0.73</v>
      </c>
      <c r="N2058" s="92">
        <v>0.44</v>
      </c>
    </row>
    <row r="2059" spans="3:14" x14ac:dyDescent="0.2">
      <c r="C2059" t="s">
        <v>587</v>
      </c>
      <c r="D2059">
        <v>0.02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 s="92">
        <v>0.01</v>
      </c>
    </row>
    <row r="2060" spans="3:14" x14ac:dyDescent="0.2">
      <c r="C2060" t="s">
        <v>588</v>
      </c>
      <c r="D2060" s="20">
        <f t="shared" ref="D2060:I2060" si="878">D2040+D2043+D2044+D2048</f>
        <v>32.99</v>
      </c>
      <c r="E2060" s="20">
        <f t="shared" si="878"/>
        <v>30.39</v>
      </c>
      <c r="F2060" s="20">
        <f t="shared" si="878"/>
        <v>33.51</v>
      </c>
      <c r="G2060" s="20">
        <f t="shared" si="878"/>
        <v>34.81</v>
      </c>
      <c r="H2060" s="20">
        <f t="shared" si="878"/>
        <v>33.22</v>
      </c>
      <c r="I2060" s="20">
        <f t="shared" si="878"/>
        <v>30.950000000000003</v>
      </c>
      <c r="J2060" s="20">
        <f>J2040+J2044+J2048</f>
        <v>27.689999999999998</v>
      </c>
      <c r="K2060" s="20">
        <f>K2040+K2044+K2048</f>
        <v>29.619999999999997</v>
      </c>
      <c r="L2060" s="20">
        <f>L2040+L2044+L2048</f>
        <v>31.660000000000004</v>
      </c>
      <c r="M2060" s="20">
        <f>M2040+M2044+M2048</f>
        <v>33.47</v>
      </c>
      <c r="N2060" s="94">
        <f>N2040+N2043+N2044+N2048</f>
        <v>31.3</v>
      </c>
    </row>
    <row r="2061" spans="3:14" x14ac:dyDescent="0.2">
      <c r="C2061" t="s">
        <v>589</v>
      </c>
      <c r="D2061">
        <v>-0.89</v>
      </c>
      <c r="E2061">
        <v>-1.02</v>
      </c>
      <c r="F2061">
        <v>-2.13</v>
      </c>
      <c r="G2061">
        <v>-4.12</v>
      </c>
      <c r="H2061">
        <v>-4.12</v>
      </c>
      <c r="I2061">
        <v>-4.12</v>
      </c>
      <c r="J2061">
        <v>-4.12</v>
      </c>
      <c r="K2061">
        <v>-4.12</v>
      </c>
      <c r="L2061">
        <v>-4.12</v>
      </c>
      <c r="M2061">
        <v>-4.12</v>
      </c>
      <c r="N2061" s="92">
        <v>-0.89</v>
      </c>
    </row>
    <row r="2062" spans="3:14" x14ac:dyDescent="0.2">
      <c r="C2062" s="14" t="s">
        <v>590</v>
      </c>
      <c r="D2062" s="32">
        <f>D2060+D2061</f>
        <v>32.1</v>
      </c>
      <c r="E2062" s="32">
        <f t="shared" ref="E2062:M2062" si="879">E2060+E2061</f>
        <v>29.37</v>
      </c>
      <c r="F2062" s="32">
        <f t="shared" si="879"/>
        <v>31.38</v>
      </c>
      <c r="G2062" s="32">
        <f t="shared" si="879"/>
        <v>30.69</v>
      </c>
      <c r="H2062" s="32">
        <f t="shared" si="879"/>
        <v>29.099999999999998</v>
      </c>
      <c r="I2062" s="32">
        <f t="shared" si="879"/>
        <v>26.830000000000002</v>
      </c>
      <c r="J2062" s="32">
        <f t="shared" si="879"/>
        <v>23.569999999999997</v>
      </c>
      <c r="K2062" s="32">
        <f t="shared" si="879"/>
        <v>25.499999999999996</v>
      </c>
      <c r="L2062" s="32">
        <f t="shared" si="879"/>
        <v>27.540000000000003</v>
      </c>
      <c r="M2062" s="32">
        <f t="shared" si="879"/>
        <v>29.349999999999998</v>
      </c>
      <c r="N2062" s="95">
        <f>N2060+N2061</f>
        <v>30.41</v>
      </c>
    </row>
    <row r="2063" spans="3:14" x14ac:dyDescent="0.2">
      <c r="C2063" t="s">
        <v>591</v>
      </c>
      <c r="D2063">
        <v>10.16</v>
      </c>
      <c r="E2063">
        <v>9.36</v>
      </c>
      <c r="F2063">
        <v>9.36</v>
      </c>
      <c r="G2063">
        <v>5.46</v>
      </c>
      <c r="H2063">
        <v>6.07</v>
      </c>
      <c r="I2063">
        <v>7.67</v>
      </c>
      <c r="J2063">
        <v>10.54</v>
      </c>
      <c r="K2063">
        <v>7.54</v>
      </c>
      <c r="L2063">
        <v>4.7699999999999996</v>
      </c>
      <c r="M2063">
        <v>2.56</v>
      </c>
      <c r="N2063" s="92">
        <v>9.76</v>
      </c>
    </row>
    <row r="2064" spans="3:14" x14ac:dyDescent="0.2">
      <c r="C2064" t="s">
        <v>592</v>
      </c>
      <c r="D2064">
        <v>10.16</v>
      </c>
      <c r="E2064">
        <v>9.36</v>
      </c>
      <c r="F2064">
        <v>9.36</v>
      </c>
      <c r="G2064">
        <v>5.46</v>
      </c>
      <c r="H2064">
        <v>4.57</v>
      </c>
      <c r="I2064">
        <v>4.57</v>
      </c>
      <c r="J2064">
        <v>1.42</v>
      </c>
      <c r="K2064">
        <v>0.71</v>
      </c>
      <c r="L2064" t="s">
        <v>572</v>
      </c>
      <c r="M2064" t="s">
        <v>3</v>
      </c>
      <c r="N2064" s="92">
        <v>9.76</v>
      </c>
    </row>
    <row r="2065" spans="2:14" x14ac:dyDescent="0.2">
      <c r="C2065" t="s">
        <v>593</v>
      </c>
      <c r="D2065" t="s">
        <v>572</v>
      </c>
      <c r="E2065" t="s">
        <v>3</v>
      </c>
      <c r="F2065" t="s">
        <v>3</v>
      </c>
      <c r="G2065" t="s">
        <v>3</v>
      </c>
      <c r="H2065">
        <v>1.49</v>
      </c>
      <c r="I2065">
        <v>3.09</v>
      </c>
      <c r="J2065">
        <v>9.1300000000000008</v>
      </c>
      <c r="K2065">
        <v>6.84</v>
      </c>
      <c r="L2065">
        <v>4.7699999999999996</v>
      </c>
      <c r="M2065">
        <v>2.56</v>
      </c>
      <c r="N2065" s="92" t="s">
        <v>3</v>
      </c>
    </row>
    <row r="2066" spans="2:14" x14ac:dyDescent="0.2">
      <c r="C2066" t="s">
        <v>594</v>
      </c>
      <c r="D2066">
        <v>11.67</v>
      </c>
      <c r="E2066">
        <v>4.0999999999999996</v>
      </c>
      <c r="F2066">
        <v>5.51</v>
      </c>
      <c r="G2066">
        <v>1.26</v>
      </c>
      <c r="H2066">
        <v>1.1299999999999999</v>
      </c>
      <c r="I2066">
        <v>1.1299999999999999</v>
      </c>
      <c r="J2066">
        <v>1.1299999999999999</v>
      </c>
      <c r="K2066">
        <v>0.36</v>
      </c>
      <c r="L2066">
        <v>0</v>
      </c>
      <c r="M2066">
        <v>0</v>
      </c>
      <c r="N2066" s="92">
        <v>6.85</v>
      </c>
    </row>
    <row r="2067" spans="2:14" x14ac:dyDescent="0.2">
      <c r="C2067" t="s">
        <v>612</v>
      </c>
      <c r="D2067">
        <v>1.47</v>
      </c>
      <c r="E2067">
        <v>1.1299999999999999</v>
      </c>
      <c r="F2067">
        <v>1.1299999999999999</v>
      </c>
      <c r="G2067">
        <v>1.1299999999999999</v>
      </c>
      <c r="H2067">
        <v>1.1299999999999999</v>
      </c>
      <c r="I2067">
        <v>1.1299999999999999</v>
      </c>
      <c r="J2067">
        <v>1.1299999999999999</v>
      </c>
      <c r="K2067">
        <v>0.36</v>
      </c>
      <c r="L2067" t="s">
        <v>572</v>
      </c>
      <c r="M2067" t="s">
        <v>3</v>
      </c>
      <c r="N2067" s="92">
        <v>1.1299999999999999</v>
      </c>
    </row>
    <row r="2068" spans="2:14" x14ac:dyDescent="0.2">
      <c r="C2068" t="s">
        <v>596</v>
      </c>
      <c r="D2068">
        <v>10.199999999999999</v>
      </c>
      <c r="E2068">
        <v>2.97</v>
      </c>
      <c r="F2068">
        <v>4.3899999999999997</v>
      </c>
      <c r="G2068">
        <v>0.13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 s="92">
        <v>5.72</v>
      </c>
    </row>
    <row r="2069" spans="2:14" x14ac:dyDescent="0.2">
      <c r="C2069" s="14" t="s">
        <v>597</v>
      </c>
      <c r="D2069" s="32">
        <f>D2063-D2066</f>
        <v>-1.5099999999999998</v>
      </c>
      <c r="E2069" s="32">
        <f t="shared" ref="E2069:M2069" si="880">E2063-E2066</f>
        <v>5.26</v>
      </c>
      <c r="F2069" s="32">
        <f t="shared" si="880"/>
        <v>3.8499999999999996</v>
      </c>
      <c r="G2069" s="32">
        <f t="shared" si="880"/>
        <v>4.2</v>
      </c>
      <c r="H2069" s="32">
        <f t="shared" si="880"/>
        <v>4.9400000000000004</v>
      </c>
      <c r="I2069" s="32">
        <f t="shared" si="880"/>
        <v>6.54</v>
      </c>
      <c r="J2069" s="32">
        <f t="shared" si="880"/>
        <v>9.41</v>
      </c>
      <c r="K2069" s="32">
        <f t="shared" si="880"/>
        <v>7.18</v>
      </c>
      <c r="L2069" s="32">
        <f t="shared" si="880"/>
        <v>4.7699999999999996</v>
      </c>
      <c r="M2069" s="32">
        <f t="shared" si="880"/>
        <v>2.56</v>
      </c>
      <c r="N2069" s="95">
        <f>N2063-N2066</f>
        <v>2.91</v>
      </c>
    </row>
    <row r="2070" spans="2:14" x14ac:dyDescent="0.2">
      <c r="C2070" t="s">
        <v>598</v>
      </c>
      <c r="D2070" s="20">
        <f>D2062+D2069</f>
        <v>30.590000000000003</v>
      </c>
      <c r="E2070" s="20">
        <f t="shared" ref="E2070:M2070" si="881">E2062+E2069</f>
        <v>34.630000000000003</v>
      </c>
      <c r="F2070" s="20">
        <f t="shared" si="881"/>
        <v>35.229999999999997</v>
      </c>
      <c r="G2070" s="20">
        <f t="shared" si="881"/>
        <v>34.89</v>
      </c>
      <c r="H2070" s="20">
        <f t="shared" si="881"/>
        <v>34.04</v>
      </c>
      <c r="I2070" s="20">
        <f t="shared" si="881"/>
        <v>33.370000000000005</v>
      </c>
      <c r="J2070" s="20">
        <f t="shared" si="881"/>
        <v>32.979999999999997</v>
      </c>
      <c r="K2070" s="20">
        <f t="shared" si="881"/>
        <v>32.679999999999993</v>
      </c>
      <c r="L2070" s="20">
        <f t="shared" si="881"/>
        <v>32.31</v>
      </c>
      <c r="M2070" s="20">
        <f t="shared" si="881"/>
        <v>31.909999999999997</v>
      </c>
      <c r="N2070" s="94">
        <f>N2062+N2069</f>
        <v>33.32</v>
      </c>
    </row>
    <row r="2071" spans="2:14" x14ac:dyDescent="0.2">
      <c r="N2071" s="92"/>
    </row>
    <row r="2072" spans="2:14" x14ac:dyDescent="0.2">
      <c r="C2072" t="s">
        <v>599</v>
      </c>
      <c r="D2072">
        <v>32.950000000000003</v>
      </c>
      <c r="E2072">
        <v>36.770000000000003</v>
      </c>
      <c r="F2072">
        <v>38.479999999999997</v>
      </c>
      <c r="G2072">
        <v>40.14</v>
      </c>
      <c r="H2072">
        <v>39.28</v>
      </c>
      <c r="I2072">
        <v>38.6</v>
      </c>
      <c r="J2072">
        <v>38.229999999999997</v>
      </c>
      <c r="K2072">
        <v>37.159999999999997</v>
      </c>
      <c r="L2072">
        <v>36.44</v>
      </c>
      <c r="M2072">
        <v>36.020000000000003</v>
      </c>
      <c r="N2072" s="92">
        <v>35.33</v>
      </c>
    </row>
    <row r="2073" spans="2:14" x14ac:dyDescent="0.2">
      <c r="N2073" s="92"/>
    </row>
    <row r="2074" spans="2:14" x14ac:dyDescent="0.2">
      <c r="N2074" s="92"/>
    </row>
    <row r="2075" spans="2:14" s="2" customFormat="1" ht="15" x14ac:dyDescent="0.25">
      <c r="B2075" s="2" t="s">
        <v>648</v>
      </c>
      <c r="C2075" s="9"/>
      <c r="N2075" s="96"/>
    </row>
    <row r="2076" spans="2:14" s="2" customFormat="1" ht="15" x14ac:dyDescent="0.25">
      <c r="B2076" s="2" t="s">
        <v>614</v>
      </c>
      <c r="N2076" s="96"/>
    </row>
    <row r="2077" spans="2:14" s="2" customFormat="1" ht="15" x14ac:dyDescent="0.25">
      <c r="B2077" s="13" t="s">
        <v>615</v>
      </c>
      <c r="D2077" s="2">
        <v>2000</v>
      </c>
      <c r="E2077" s="2">
        <v>2010</v>
      </c>
      <c r="F2077" s="2">
        <v>2015</v>
      </c>
      <c r="G2077" s="2">
        <v>2020</v>
      </c>
      <c r="H2077" s="2">
        <v>2025</v>
      </c>
      <c r="I2077" s="2">
        <v>2030</v>
      </c>
      <c r="J2077" s="2">
        <v>2035</v>
      </c>
      <c r="K2077" s="2">
        <v>2040</v>
      </c>
      <c r="L2077" s="2">
        <v>2045</v>
      </c>
      <c r="M2077" s="2">
        <v>2050</v>
      </c>
      <c r="N2077" s="96">
        <v>2005</v>
      </c>
    </row>
    <row r="2078" spans="2:14" x14ac:dyDescent="0.2">
      <c r="C2078" t="s">
        <v>568</v>
      </c>
      <c r="D2078">
        <v>20.67</v>
      </c>
      <c r="E2078">
        <v>21.26</v>
      </c>
      <c r="F2078">
        <v>21.92</v>
      </c>
      <c r="G2078">
        <v>22.98</v>
      </c>
      <c r="H2078">
        <v>23.05</v>
      </c>
      <c r="I2078">
        <v>23.08</v>
      </c>
      <c r="J2078">
        <v>23.13</v>
      </c>
      <c r="K2078">
        <v>23.22</v>
      </c>
      <c r="L2078">
        <v>23.28</v>
      </c>
      <c r="M2078">
        <v>23.29</v>
      </c>
      <c r="N2078" s="92">
        <v>18.78</v>
      </c>
    </row>
    <row r="2079" spans="2:14" x14ac:dyDescent="0.2">
      <c r="C2079" t="s">
        <v>633</v>
      </c>
      <c r="D2079">
        <v>20.67</v>
      </c>
      <c r="E2079">
        <v>21.26</v>
      </c>
      <c r="F2079">
        <v>21</v>
      </c>
      <c r="G2079">
        <v>20.78</v>
      </c>
      <c r="H2079">
        <v>20.58</v>
      </c>
      <c r="I2079">
        <v>20.37</v>
      </c>
      <c r="J2079">
        <v>20.07</v>
      </c>
      <c r="K2079">
        <v>19.82</v>
      </c>
      <c r="L2079">
        <v>19.32</v>
      </c>
      <c r="M2079">
        <v>18.95</v>
      </c>
      <c r="N2079" s="92">
        <v>18.78</v>
      </c>
    </row>
    <row r="2080" spans="2:14" x14ac:dyDescent="0.2">
      <c r="C2080" t="s">
        <v>603</v>
      </c>
      <c r="D2080" t="s">
        <v>3</v>
      </c>
      <c r="E2080" t="s">
        <v>3</v>
      </c>
      <c r="F2080">
        <v>0.91</v>
      </c>
      <c r="G2080">
        <v>2.19</v>
      </c>
      <c r="H2080">
        <v>2.4700000000000002</v>
      </c>
      <c r="I2080">
        <v>2.71</v>
      </c>
      <c r="J2080">
        <v>3.06</v>
      </c>
      <c r="K2080">
        <v>3.4</v>
      </c>
      <c r="L2080">
        <v>3.97</v>
      </c>
      <c r="M2080">
        <v>4.34</v>
      </c>
      <c r="N2080" s="92" t="s">
        <v>3</v>
      </c>
    </row>
    <row r="2081" spans="3:14" x14ac:dyDescent="0.2">
      <c r="C2081" t="s">
        <v>571</v>
      </c>
      <c r="D2081">
        <v>11.01</v>
      </c>
      <c r="E2081">
        <v>10.96</v>
      </c>
      <c r="F2081">
        <v>11.08</v>
      </c>
      <c r="G2081">
        <v>9.77</v>
      </c>
      <c r="H2081">
        <v>7.21</v>
      </c>
      <c r="I2081">
        <v>3.97</v>
      </c>
      <c r="J2081">
        <v>0</v>
      </c>
      <c r="K2081">
        <v>0</v>
      </c>
      <c r="L2081">
        <v>0</v>
      </c>
      <c r="M2081">
        <v>0</v>
      </c>
      <c r="N2081" s="92">
        <v>7.97</v>
      </c>
    </row>
    <row r="2082" spans="3:14" x14ac:dyDescent="0.2">
      <c r="C2082" t="s">
        <v>604</v>
      </c>
      <c r="D2082">
        <v>0.67</v>
      </c>
      <c r="E2082">
        <v>0.88</v>
      </c>
      <c r="F2082">
        <v>1.07</v>
      </c>
      <c r="G2082">
        <v>1.23</v>
      </c>
      <c r="H2082">
        <v>1.3</v>
      </c>
      <c r="I2082">
        <v>1.38</v>
      </c>
      <c r="J2082">
        <v>1.37</v>
      </c>
      <c r="K2082">
        <v>1.31</v>
      </c>
      <c r="L2082">
        <v>1.31</v>
      </c>
      <c r="M2082">
        <v>1.31</v>
      </c>
      <c r="N2082" s="92">
        <v>0.82</v>
      </c>
    </row>
    <row r="2083" spans="3:14" x14ac:dyDescent="0.2">
      <c r="C2083" t="s">
        <v>605</v>
      </c>
      <c r="D2083">
        <v>0.67</v>
      </c>
      <c r="E2083">
        <v>0.88</v>
      </c>
      <c r="F2083">
        <v>0.71</v>
      </c>
      <c r="G2083">
        <v>0.62</v>
      </c>
      <c r="H2083">
        <v>0.38</v>
      </c>
      <c r="I2083">
        <v>0.24</v>
      </c>
      <c r="J2083">
        <v>0.14000000000000001</v>
      </c>
      <c r="K2083" t="s">
        <v>572</v>
      </c>
      <c r="L2083" t="s">
        <v>3</v>
      </c>
      <c r="M2083" t="s">
        <v>3</v>
      </c>
      <c r="N2083" s="92">
        <v>0.82</v>
      </c>
    </row>
    <row r="2084" spans="3:14" x14ac:dyDescent="0.2">
      <c r="C2084" t="s">
        <v>606</v>
      </c>
      <c r="D2084" t="s">
        <v>572</v>
      </c>
      <c r="E2084" t="s">
        <v>3</v>
      </c>
      <c r="F2084" t="s">
        <v>3</v>
      </c>
      <c r="G2084" t="s">
        <v>3</v>
      </c>
      <c r="H2084" t="s">
        <v>3</v>
      </c>
      <c r="I2084" t="s">
        <v>3</v>
      </c>
      <c r="J2084" t="s">
        <v>3</v>
      </c>
      <c r="K2084" t="s">
        <v>3</v>
      </c>
      <c r="L2084" t="s">
        <v>3</v>
      </c>
      <c r="M2084" t="s">
        <v>3</v>
      </c>
      <c r="N2084" s="92" t="s">
        <v>572</v>
      </c>
    </row>
    <row r="2085" spans="3:14" x14ac:dyDescent="0.2">
      <c r="C2085" t="s">
        <v>607</v>
      </c>
      <c r="D2085" t="s">
        <v>3</v>
      </c>
      <c r="E2085" t="s">
        <v>3</v>
      </c>
      <c r="F2085">
        <v>0.36</v>
      </c>
      <c r="G2085">
        <v>0.61</v>
      </c>
      <c r="H2085">
        <v>0.92</v>
      </c>
      <c r="I2085">
        <v>1.1499999999999999</v>
      </c>
      <c r="J2085">
        <v>1.23</v>
      </c>
      <c r="K2085">
        <v>1.31</v>
      </c>
      <c r="L2085">
        <v>1.31</v>
      </c>
      <c r="M2085">
        <v>1.31</v>
      </c>
      <c r="N2085" s="92" t="s">
        <v>3</v>
      </c>
    </row>
    <row r="2086" spans="3:14" x14ac:dyDescent="0.2">
      <c r="C2086" t="s">
        <v>608</v>
      </c>
      <c r="D2086">
        <v>0.36</v>
      </c>
      <c r="E2086">
        <v>0.62</v>
      </c>
      <c r="F2086">
        <v>1.07</v>
      </c>
      <c r="G2086">
        <v>1.66</v>
      </c>
      <c r="H2086">
        <v>2.6</v>
      </c>
      <c r="I2086">
        <v>3.96</v>
      </c>
      <c r="J2086">
        <v>6.34</v>
      </c>
      <c r="K2086">
        <v>8.8800000000000008</v>
      </c>
      <c r="L2086">
        <v>11.58</v>
      </c>
      <c r="M2086">
        <v>13.75</v>
      </c>
      <c r="N2086" s="92">
        <v>0.45</v>
      </c>
    </row>
    <row r="2087" spans="3:14" x14ac:dyDescent="0.2">
      <c r="C2087" t="s">
        <v>609</v>
      </c>
      <c r="D2087">
        <v>0.36</v>
      </c>
      <c r="E2087">
        <v>0.62</v>
      </c>
      <c r="F2087">
        <v>0.47</v>
      </c>
      <c r="G2087">
        <v>0.42</v>
      </c>
      <c r="H2087">
        <v>0.32</v>
      </c>
      <c r="I2087">
        <v>0.19</v>
      </c>
      <c r="J2087">
        <v>0.04</v>
      </c>
      <c r="K2087">
        <v>0</v>
      </c>
      <c r="L2087" t="s">
        <v>3</v>
      </c>
      <c r="M2087" t="s">
        <v>3</v>
      </c>
      <c r="N2087" s="92">
        <v>0.45</v>
      </c>
    </row>
    <row r="2088" spans="3:14" x14ac:dyDescent="0.2">
      <c r="C2088" t="s">
        <v>610</v>
      </c>
      <c r="D2088" t="s">
        <v>572</v>
      </c>
      <c r="E2088" t="s">
        <v>3</v>
      </c>
      <c r="F2088">
        <v>0.6</v>
      </c>
      <c r="G2088">
        <v>1.25</v>
      </c>
      <c r="H2088">
        <v>2.2799999999999998</v>
      </c>
      <c r="I2088">
        <v>3.77</v>
      </c>
      <c r="J2088">
        <v>6.3</v>
      </c>
      <c r="K2088">
        <v>8.8800000000000008</v>
      </c>
      <c r="L2088">
        <v>11.58</v>
      </c>
      <c r="M2088">
        <v>13.75</v>
      </c>
      <c r="N2088" s="92" t="s">
        <v>3</v>
      </c>
    </row>
    <row r="2089" spans="3:14" x14ac:dyDescent="0.2">
      <c r="C2089" t="s">
        <v>580</v>
      </c>
      <c r="D2089">
        <v>0.01</v>
      </c>
      <c r="E2089">
        <v>0.06</v>
      </c>
      <c r="F2089">
        <v>0.21</v>
      </c>
      <c r="G2089">
        <v>0.38</v>
      </c>
      <c r="H2089">
        <v>0.71</v>
      </c>
      <c r="I2089">
        <v>1.39</v>
      </c>
      <c r="J2089">
        <v>3.24</v>
      </c>
      <c r="K2089">
        <v>4.92</v>
      </c>
      <c r="L2089">
        <v>6.74</v>
      </c>
      <c r="M2089">
        <v>8.1199999999999992</v>
      </c>
      <c r="N2089" s="92">
        <v>0.01</v>
      </c>
    </row>
    <row r="2090" spans="3:14" x14ac:dyDescent="0.2">
      <c r="C2090" t="s">
        <v>581</v>
      </c>
      <c r="D2090">
        <v>0</v>
      </c>
      <c r="E2090">
        <v>0.01</v>
      </c>
      <c r="F2090">
        <v>0.14000000000000001</v>
      </c>
      <c r="G2090">
        <v>0.26</v>
      </c>
      <c r="H2090">
        <v>0.39</v>
      </c>
      <c r="I2090">
        <v>0.57999999999999996</v>
      </c>
      <c r="J2090">
        <v>0.7</v>
      </c>
      <c r="K2090">
        <v>1.04</v>
      </c>
      <c r="L2090">
        <v>1.37</v>
      </c>
      <c r="M2090">
        <v>1.7</v>
      </c>
      <c r="N2090" s="92">
        <v>0</v>
      </c>
    </row>
    <row r="2091" spans="3:14" x14ac:dyDescent="0.2">
      <c r="C2091" t="s">
        <v>582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 s="92">
        <v>0</v>
      </c>
    </row>
    <row r="2092" spans="3:14" x14ac:dyDescent="0.2">
      <c r="C2092" t="s">
        <v>47</v>
      </c>
      <c r="D2092" t="s">
        <v>572</v>
      </c>
      <c r="E2092" t="s">
        <v>3</v>
      </c>
      <c r="F2092">
        <v>0.05</v>
      </c>
      <c r="G2092">
        <v>0.1</v>
      </c>
      <c r="H2092">
        <v>0.2</v>
      </c>
      <c r="I2092">
        <v>0.39</v>
      </c>
      <c r="J2092">
        <v>0.72</v>
      </c>
      <c r="K2092">
        <v>1.2</v>
      </c>
      <c r="L2092">
        <v>1.74</v>
      </c>
      <c r="M2092">
        <v>2.19</v>
      </c>
      <c r="N2092" s="92" t="s">
        <v>572</v>
      </c>
    </row>
    <row r="2093" spans="3:14" x14ac:dyDescent="0.2">
      <c r="C2093" t="s">
        <v>583</v>
      </c>
      <c r="D2093">
        <v>0.01</v>
      </c>
      <c r="E2093">
        <v>0.04</v>
      </c>
      <c r="F2093">
        <v>0.1</v>
      </c>
      <c r="G2093">
        <v>0.19</v>
      </c>
      <c r="H2093">
        <v>0.31</v>
      </c>
      <c r="I2093">
        <v>0.39</v>
      </c>
      <c r="J2093">
        <v>0.4</v>
      </c>
      <c r="K2093">
        <v>0.4</v>
      </c>
      <c r="L2093">
        <v>0.4</v>
      </c>
      <c r="M2093">
        <v>0.41</v>
      </c>
      <c r="N2093" s="92">
        <v>0.01</v>
      </c>
    </row>
    <row r="2094" spans="3:14" x14ac:dyDescent="0.2">
      <c r="C2094" t="s">
        <v>584</v>
      </c>
      <c r="D2094">
        <v>0</v>
      </c>
      <c r="E2094">
        <v>0.03</v>
      </c>
      <c r="F2094">
        <v>0.08</v>
      </c>
      <c r="G2094">
        <v>0.18</v>
      </c>
      <c r="H2094">
        <v>0.34</v>
      </c>
      <c r="I2094">
        <v>0.5</v>
      </c>
      <c r="J2094">
        <v>0.56999999999999995</v>
      </c>
      <c r="K2094">
        <v>0.6</v>
      </c>
      <c r="L2094">
        <v>0.61</v>
      </c>
      <c r="M2094">
        <v>0.61</v>
      </c>
      <c r="N2094" s="92">
        <v>0.01</v>
      </c>
    </row>
    <row r="2095" spans="3:14" x14ac:dyDescent="0.2">
      <c r="C2095" t="s">
        <v>585</v>
      </c>
      <c r="D2095">
        <v>0.04</v>
      </c>
      <c r="E2095">
        <v>0.05</v>
      </c>
      <c r="F2095">
        <v>0.04</v>
      </c>
      <c r="G2095">
        <v>7.0000000000000007E-2</v>
      </c>
      <c r="H2095">
        <v>0.09</v>
      </c>
      <c r="I2095">
        <v>0.11</v>
      </c>
      <c r="J2095">
        <v>0.12</v>
      </c>
      <c r="K2095">
        <v>0.12</v>
      </c>
      <c r="L2095">
        <v>0.12</v>
      </c>
      <c r="M2095">
        <v>0.12</v>
      </c>
      <c r="N2095" s="92">
        <v>0.04</v>
      </c>
    </row>
    <row r="2096" spans="3:14" x14ac:dyDescent="0.2">
      <c r="C2096" t="s">
        <v>586</v>
      </c>
      <c r="D2096">
        <v>0.28999999999999998</v>
      </c>
      <c r="E2096">
        <v>0.41</v>
      </c>
      <c r="F2096">
        <v>0.45</v>
      </c>
      <c r="G2096">
        <v>0.49</v>
      </c>
      <c r="H2096">
        <v>0.56000000000000005</v>
      </c>
      <c r="I2096">
        <v>0.59</v>
      </c>
      <c r="J2096">
        <v>0.6</v>
      </c>
      <c r="K2096">
        <v>0.6</v>
      </c>
      <c r="L2096">
        <v>0.6</v>
      </c>
      <c r="M2096">
        <v>0.6</v>
      </c>
      <c r="N2096" s="92">
        <v>0.36</v>
      </c>
    </row>
    <row r="2097" spans="3:14" x14ac:dyDescent="0.2">
      <c r="C2097" t="s">
        <v>587</v>
      </c>
      <c r="D2097">
        <v>0.02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 s="92">
        <v>0.01</v>
      </c>
    </row>
    <row r="2098" spans="3:14" x14ac:dyDescent="0.2">
      <c r="C2098" t="s">
        <v>588</v>
      </c>
      <c r="D2098" s="20">
        <f t="shared" ref="D2098:I2098" si="882">D2078+D2081+D2082+D2086</f>
        <v>32.71</v>
      </c>
      <c r="E2098" s="20">
        <f t="shared" si="882"/>
        <v>33.72</v>
      </c>
      <c r="F2098" s="20">
        <f t="shared" si="882"/>
        <v>35.14</v>
      </c>
      <c r="G2098" s="20">
        <f t="shared" si="882"/>
        <v>35.639999999999993</v>
      </c>
      <c r="H2098" s="20">
        <f t="shared" si="882"/>
        <v>34.160000000000004</v>
      </c>
      <c r="I2098" s="20">
        <f t="shared" si="882"/>
        <v>32.389999999999993</v>
      </c>
      <c r="J2098" s="20">
        <f>J2078+J2082+J2086</f>
        <v>30.84</v>
      </c>
      <c r="K2098" s="20">
        <f>K2078+K2082+K2086</f>
        <v>33.409999999999997</v>
      </c>
      <c r="L2098" s="20">
        <f>L2078+L2082+L2086</f>
        <v>36.17</v>
      </c>
      <c r="M2098" s="20">
        <f>M2078+M2082+M2086</f>
        <v>38.349999999999994</v>
      </c>
      <c r="N2098" s="94">
        <f>N2078+N2081+N2082+N2086</f>
        <v>28.02</v>
      </c>
    </row>
    <row r="2099" spans="3:14" x14ac:dyDescent="0.2">
      <c r="C2099" t="s">
        <v>589</v>
      </c>
      <c r="D2099">
        <v>-1.33</v>
      </c>
      <c r="E2099">
        <v>-1.53</v>
      </c>
      <c r="F2099">
        <v>-2.21</v>
      </c>
      <c r="G2099">
        <v>-3.42</v>
      </c>
      <c r="H2099">
        <v>-3.42</v>
      </c>
      <c r="I2099">
        <v>-3.42</v>
      </c>
      <c r="J2099">
        <v>-3.42</v>
      </c>
      <c r="K2099">
        <v>-3.42</v>
      </c>
      <c r="L2099">
        <v>-3.42</v>
      </c>
      <c r="M2099">
        <v>-3.42</v>
      </c>
      <c r="N2099" s="92">
        <v>-1.33</v>
      </c>
    </row>
    <row r="2100" spans="3:14" x14ac:dyDescent="0.2">
      <c r="C2100" s="14" t="s">
        <v>590</v>
      </c>
      <c r="D2100" s="32">
        <f>D2098+D2099</f>
        <v>31.380000000000003</v>
      </c>
      <c r="E2100" s="32">
        <f t="shared" ref="E2100:M2100" si="883">E2098+E2099</f>
        <v>32.19</v>
      </c>
      <c r="F2100" s="32">
        <f t="shared" si="883"/>
        <v>32.93</v>
      </c>
      <c r="G2100" s="32">
        <f t="shared" si="883"/>
        <v>32.219999999999992</v>
      </c>
      <c r="H2100" s="32">
        <f t="shared" si="883"/>
        <v>30.740000000000002</v>
      </c>
      <c r="I2100" s="32">
        <f t="shared" si="883"/>
        <v>28.969999999999992</v>
      </c>
      <c r="J2100" s="32">
        <f t="shared" si="883"/>
        <v>27.42</v>
      </c>
      <c r="K2100" s="32">
        <f t="shared" si="883"/>
        <v>29.989999999999995</v>
      </c>
      <c r="L2100" s="32">
        <f t="shared" si="883"/>
        <v>32.75</v>
      </c>
      <c r="M2100" s="32">
        <f t="shared" si="883"/>
        <v>34.929999999999993</v>
      </c>
      <c r="N2100" s="95">
        <f>N2098+N2099</f>
        <v>26.689999999999998</v>
      </c>
    </row>
    <row r="2101" spans="3:14" x14ac:dyDescent="0.2">
      <c r="C2101" t="s">
        <v>591</v>
      </c>
      <c r="D2101">
        <v>8.56</v>
      </c>
      <c r="E2101">
        <v>7.88</v>
      </c>
      <c r="F2101">
        <v>7.88</v>
      </c>
      <c r="G2101">
        <v>4.5999999999999996</v>
      </c>
      <c r="H2101">
        <v>3.85</v>
      </c>
      <c r="I2101">
        <v>3.85</v>
      </c>
      <c r="J2101">
        <v>1.19</v>
      </c>
      <c r="K2101">
        <v>0.6</v>
      </c>
      <c r="N2101" s="92">
        <v>8.2200000000000006</v>
      </c>
    </row>
    <row r="2102" spans="3:14" x14ac:dyDescent="0.2">
      <c r="C2102" t="s">
        <v>592</v>
      </c>
      <c r="D2102">
        <v>8.56</v>
      </c>
      <c r="E2102">
        <v>7.88</v>
      </c>
      <c r="F2102">
        <v>7.88</v>
      </c>
      <c r="G2102">
        <v>4.5999999999999996</v>
      </c>
      <c r="H2102">
        <v>3.85</v>
      </c>
      <c r="I2102">
        <v>3.85</v>
      </c>
      <c r="J2102">
        <v>1.19</v>
      </c>
      <c r="K2102">
        <v>0.6</v>
      </c>
      <c r="L2102" t="s">
        <v>572</v>
      </c>
      <c r="M2102" t="s">
        <v>3</v>
      </c>
      <c r="N2102" s="92">
        <v>8.2200000000000006</v>
      </c>
    </row>
    <row r="2103" spans="3:14" x14ac:dyDescent="0.2">
      <c r="C2103" t="s">
        <v>593</v>
      </c>
      <c r="D2103" t="s">
        <v>572</v>
      </c>
      <c r="E2103" t="s">
        <v>3</v>
      </c>
      <c r="F2103" t="s">
        <v>3</v>
      </c>
      <c r="G2103" t="s">
        <v>3</v>
      </c>
      <c r="H2103" t="s">
        <v>3</v>
      </c>
      <c r="I2103" t="s">
        <v>3</v>
      </c>
      <c r="J2103" t="s">
        <v>572</v>
      </c>
      <c r="K2103" t="s">
        <v>3</v>
      </c>
      <c r="L2103" t="s">
        <v>3</v>
      </c>
      <c r="M2103" t="s">
        <v>3</v>
      </c>
      <c r="N2103" s="92" t="s">
        <v>3</v>
      </c>
    </row>
    <row r="2104" spans="3:14" x14ac:dyDescent="0.2">
      <c r="C2104" t="s">
        <v>594</v>
      </c>
      <c r="D2104">
        <v>14.39</v>
      </c>
      <c r="E2104">
        <v>11.09</v>
      </c>
      <c r="F2104">
        <v>11.48</v>
      </c>
      <c r="G2104">
        <v>7.91</v>
      </c>
      <c r="H2104">
        <v>6.52</v>
      </c>
      <c r="I2104">
        <v>5.46</v>
      </c>
      <c r="J2104">
        <v>1.69</v>
      </c>
      <c r="K2104">
        <v>4.04</v>
      </c>
      <c r="L2104">
        <v>6.63</v>
      </c>
      <c r="M2104">
        <v>9.27</v>
      </c>
      <c r="N2104" s="92">
        <v>6.9</v>
      </c>
    </row>
    <row r="2105" spans="3:14" x14ac:dyDescent="0.2">
      <c r="C2105" t="s">
        <v>612</v>
      </c>
      <c r="D2105">
        <v>1.35</v>
      </c>
      <c r="E2105">
        <v>1.1399999999999999</v>
      </c>
      <c r="F2105">
        <v>1.1399999999999999</v>
      </c>
      <c r="G2105">
        <v>1.1399999999999999</v>
      </c>
      <c r="H2105">
        <v>1.1399999999999999</v>
      </c>
      <c r="I2105">
        <v>1.1399999999999999</v>
      </c>
      <c r="J2105">
        <v>1.1399999999999999</v>
      </c>
      <c r="K2105">
        <v>0.3</v>
      </c>
      <c r="L2105" t="s">
        <v>572</v>
      </c>
      <c r="M2105" t="s">
        <v>3</v>
      </c>
      <c r="N2105" s="92">
        <v>1.1399999999999999</v>
      </c>
    </row>
    <row r="2106" spans="3:14" x14ac:dyDescent="0.2">
      <c r="C2106" t="s">
        <v>596</v>
      </c>
      <c r="D2106">
        <v>13.04</v>
      </c>
      <c r="E2106">
        <v>9.9600000000000009</v>
      </c>
      <c r="F2106">
        <v>10.35</v>
      </c>
      <c r="G2106">
        <v>6.78</v>
      </c>
      <c r="H2106">
        <v>5.39</v>
      </c>
      <c r="I2106">
        <v>4.32</v>
      </c>
      <c r="J2106">
        <v>0.56000000000000005</v>
      </c>
      <c r="K2106">
        <v>3.74</v>
      </c>
      <c r="L2106">
        <v>6.63</v>
      </c>
      <c r="M2106">
        <v>9.27</v>
      </c>
      <c r="N2106" s="92">
        <v>5.76</v>
      </c>
    </row>
    <row r="2107" spans="3:14" x14ac:dyDescent="0.2">
      <c r="C2107" s="14" t="s">
        <v>597</v>
      </c>
      <c r="D2107" s="32">
        <f>D2101-D2104</f>
        <v>-5.83</v>
      </c>
      <c r="E2107" s="32">
        <f t="shared" ref="E2107:M2107" si="884">E2101-E2104</f>
        <v>-3.21</v>
      </c>
      <c r="F2107" s="32">
        <f t="shared" si="884"/>
        <v>-3.6000000000000005</v>
      </c>
      <c r="G2107" s="32">
        <f t="shared" si="884"/>
        <v>-3.3100000000000005</v>
      </c>
      <c r="H2107" s="32">
        <f t="shared" si="884"/>
        <v>-2.6699999999999995</v>
      </c>
      <c r="I2107" s="32">
        <f t="shared" si="884"/>
        <v>-1.6099999999999999</v>
      </c>
      <c r="J2107" s="32">
        <f t="shared" si="884"/>
        <v>-0.5</v>
      </c>
      <c r="K2107" s="32">
        <f t="shared" si="884"/>
        <v>-3.44</v>
      </c>
      <c r="L2107" s="32">
        <f t="shared" si="884"/>
        <v>-6.63</v>
      </c>
      <c r="M2107" s="32">
        <f t="shared" si="884"/>
        <v>-9.27</v>
      </c>
      <c r="N2107" s="95">
        <f>N2101-N2104</f>
        <v>1.3200000000000003</v>
      </c>
    </row>
    <row r="2108" spans="3:14" x14ac:dyDescent="0.2">
      <c r="C2108" t="s">
        <v>598</v>
      </c>
      <c r="D2108" s="20">
        <f>D2100+D2107</f>
        <v>25.550000000000004</v>
      </c>
      <c r="E2108" s="20">
        <f t="shared" ref="E2108:M2108" si="885">E2100+E2107</f>
        <v>28.979999999999997</v>
      </c>
      <c r="F2108" s="20">
        <f t="shared" si="885"/>
        <v>29.33</v>
      </c>
      <c r="G2108" s="20">
        <f t="shared" si="885"/>
        <v>28.909999999999989</v>
      </c>
      <c r="H2108" s="20">
        <f t="shared" si="885"/>
        <v>28.070000000000004</v>
      </c>
      <c r="I2108" s="20">
        <f t="shared" si="885"/>
        <v>27.359999999999992</v>
      </c>
      <c r="J2108" s="20">
        <f t="shared" si="885"/>
        <v>26.92</v>
      </c>
      <c r="K2108" s="20">
        <f t="shared" si="885"/>
        <v>26.549999999999994</v>
      </c>
      <c r="L2108" s="20">
        <f t="shared" si="885"/>
        <v>26.12</v>
      </c>
      <c r="M2108" s="20">
        <f t="shared" si="885"/>
        <v>25.659999999999993</v>
      </c>
      <c r="N2108" s="94">
        <f>N2100+N2107</f>
        <v>28.009999999999998</v>
      </c>
    </row>
    <row r="2109" spans="3:14" x14ac:dyDescent="0.2">
      <c r="N2109" s="92"/>
    </row>
    <row r="2110" spans="3:14" x14ac:dyDescent="0.2">
      <c r="C2110" t="s">
        <v>599</v>
      </c>
      <c r="D2110">
        <v>28.23</v>
      </c>
      <c r="E2110">
        <v>31.64</v>
      </c>
      <c r="F2110">
        <v>32.67</v>
      </c>
      <c r="G2110">
        <v>33.47</v>
      </c>
      <c r="H2110">
        <v>32.619999999999997</v>
      </c>
      <c r="I2110">
        <v>31.92</v>
      </c>
      <c r="J2110">
        <v>31.48</v>
      </c>
      <c r="K2110">
        <v>30.26</v>
      </c>
      <c r="L2110">
        <v>29.54</v>
      </c>
      <c r="M2110">
        <v>29.08</v>
      </c>
      <c r="N2110" s="92">
        <v>30.48</v>
      </c>
    </row>
    <row r="2111" spans="3:14" x14ac:dyDescent="0.2">
      <c r="N2111" s="92"/>
    </row>
    <row r="2112" spans="3:14" x14ac:dyDescent="0.2">
      <c r="N2112" s="92"/>
    </row>
    <row r="2113" spans="2:14" s="2" customFormat="1" ht="15" x14ac:dyDescent="0.25">
      <c r="B2113" s="2" t="s">
        <v>653</v>
      </c>
      <c r="C2113" s="9"/>
      <c r="N2113" s="96"/>
    </row>
    <row r="2114" spans="2:14" s="2" customFormat="1" ht="15" x14ac:dyDescent="0.25">
      <c r="B2114" s="2" t="s">
        <v>631</v>
      </c>
      <c r="N2114" s="96"/>
    </row>
    <row r="2115" spans="2:14" s="2" customFormat="1" ht="15" x14ac:dyDescent="0.25">
      <c r="B2115" s="13" t="s">
        <v>567</v>
      </c>
      <c r="D2115" s="2">
        <v>2000</v>
      </c>
      <c r="E2115" s="2">
        <v>2010</v>
      </c>
      <c r="F2115" s="2">
        <v>2015</v>
      </c>
      <c r="G2115" s="2">
        <v>2020</v>
      </c>
      <c r="H2115" s="2">
        <v>2025</v>
      </c>
      <c r="I2115" s="2">
        <v>2030</v>
      </c>
      <c r="J2115" s="2">
        <v>2035</v>
      </c>
      <c r="K2115" s="2">
        <v>2040</v>
      </c>
      <c r="L2115" s="2">
        <v>2045</v>
      </c>
      <c r="M2115" s="2">
        <v>2050</v>
      </c>
      <c r="N2115" s="96">
        <v>2005</v>
      </c>
    </row>
    <row r="2116" spans="2:14" x14ac:dyDescent="0.2">
      <c r="C2116" t="s">
        <v>568</v>
      </c>
      <c r="D2116">
        <v>38.380000000000003</v>
      </c>
      <c r="E2116">
        <v>35.42</v>
      </c>
      <c r="F2116">
        <v>38.76</v>
      </c>
      <c r="G2116">
        <v>41.48</v>
      </c>
      <c r="H2116">
        <v>41.65</v>
      </c>
      <c r="I2116">
        <v>41.77</v>
      </c>
      <c r="J2116">
        <v>41.75</v>
      </c>
      <c r="K2116">
        <v>41.86</v>
      </c>
      <c r="L2116">
        <v>41.6</v>
      </c>
      <c r="M2116">
        <v>41.58</v>
      </c>
      <c r="N2116" s="92">
        <v>34.340000000000003</v>
      </c>
    </row>
    <row r="2117" spans="2:14" x14ac:dyDescent="0.2">
      <c r="C2117" t="s">
        <v>602</v>
      </c>
      <c r="D2117">
        <v>38.380000000000003</v>
      </c>
      <c r="E2117">
        <v>35.42</v>
      </c>
      <c r="F2117">
        <v>36.950000000000003</v>
      </c>
      <c r="G2117">
        <v>36.869999999999997</v>
      </c>
      <c r="H2117">
        <v>36.83</v>
      </c>
      <c r="I2117">
        <v>36.75</v>
      </c>
      <c r="J2117">
        <v>36.54</v>
      </c>
      <c r="K2117">
        <v>36.409999999999997</v>
      </c>
      <c r="L2117">
        <v>35.85</v>
      </c>
      <c r="M2117">
        <v>35.57</v>
      </c>
      <c r="N2117" s="92">
        <v>34.340000000000003</v>
      </c>
    </row>
    <row r="2118" spans="2:14" x14ac:dyDescent="0.2">
      <c r="C2118" t="s">
        <v>603</v>
      </c>
      <c r="D2118" t="s">
        <v>3</v>
      </c>
      <c r="E2118" t="s">
        <v>3</v>
      </c>
      <c r="F2118">
        <v>1.81</v>
      </c>
      <c r="G2118">
        <v>4.6100000000000003</v>
      </c>
      <c r="H2118">
        <v>4.82</v>
      </c>
      <c r="I2118">
        <v>5.01</v>
      </c>
      <c r="J2118">
        <v>5.21</v>
      </c>
      <c r="K2118">
        <v>5.45</v>
      </c>
      <c r="L2118">
        <v>5.75</v>
      </c>
      <c r="M2118">
        <v>6.01</v>
      </c>
      <c r="N2118" s="92" t="s">
        <v>3</v>
      </c>
    </row>
    <row r="2119" spans="2:14" x14ac:dyDescent="0.2">
      <c r="C2119" t="s">
        <v>571</v>
      </c>
      <c r="D2119">
        <v>24.73</v>
      </c>
      <c r="E2119">
        <v>25.13</v>
      </c>
      <c r="F2119">
        <v>24.58</v>
      </c>
      <c r="G2119">
        <v>21.68</v>
      </c>
      <c r="H2119">
        <v>15.98</v>
      </c>
      <c r="I2119">
        <v>8.81</v>
      </c>
      <c r="J2119">
        <v>0</v>
      </c>
      <c r="K2119">
        <v>0</v>
      </c>
      <c r="L2119">
        <v>0</v>
      </c>
      <c r="M2119">
        <v>0</v>
      </c>
      <c r="N2119" s="92">
        <v>21.9</v>
      </c>
    </row>
    <row r="2120" spans="2:14" x14ac:dyDescent="0.2">
      <c r="C2120" t="s">
        <v>604</v>
      </c>
      <c r="D2120">
        <v>1.79</v>
      </c>
      <c r="E2120">
        <v>2.1800000000000002</v>
      </c>
      <c r="F2120">
        <v>2.65</v>
      </c>
      <c r="G2120">
        <v>3.94</v>
      </c>
      <c r="H2120">
        <v>6.9</v>
      </c>
      <c r="I2120">
        <v>10.02</v>
      </c>
      <c r="J2120">
        <v>22.28</v>
      </c>
      <c r="K2120">
        <v>21.6</v>
      </c>
      <c r="L2120">
        <v>21.98</v>
      </c>
      <c r="M2120">
        <v>21.66</v>
      </c>
      <c r="N2120" s="92">
        <v>2.0699999999999998</v>
      </c>
    </row>
    <row r="2121" spans="2:14" x14ac:dyDescent="0.2">
      <c r="C2121" t="s">
        <v>605</v>
      </c>
      <c r="D2121">
        <v>1.79</v>
      </c>
      <c r="E2121">
        <v>2.1800000000000002</v>
      </c>
      <c r="F2121">
        <v>1.76</v>
      </c>
      <c r="G2121">
        <v>1.48</v>
      </c>
      <c r="H2121">
        <v>0.92</v>
      </c>
      <c r="I2121">
        <v>0.57999999999999996</v>
      </c>
      <c r="J2121">
        <v>0.32</v>
      </c>
      <c r="K2121" t="s">
        <v>572</v>
      </c>
      <c r="L2121" t="s">
        <v>3</v>
      </c>
      <c r="M2121" t="s">
        <v>3</v>
      </c>
      <c r="N2121" s="92">
        <v>2.0699999999999998</v>
      </c>
    </row>
    <row r="2122" spans="2:14" x14ac:dyDescent="0.2">
      <c r="C2122" t="s">
        <v>606</v>
      </c>
      <c r="D2122" t="s">
        <v>572</v>
      </c>
      <c r="E2122" t="s">
        <v>3</v>
      </c>
      <c r="F2122" t="s">
        <v>3</v>
      </c>
      <c r="G2122">
        <v>0.97</v>
      </c>
      <c r="H2122">
        <v>3.78</v>
      </c>
      <c r="I2122">
        <v>6.74</v>
      </c>
      <c r="J2122">
        <v>19.05</v>
      </c>
      <c r="K2122">
        <v>18.5</v>
      </c>
      <c r="L2122">
        <v>18.87</v>
      </c>
      <c r="M2122">
        <v>18.54</v>
      </c>
      <c r="N2122" s="92" t="s">
        <v>572</v>
      </c>
    </row>
    <row r="2123" spans="2:14" x14ac:dyDescent="0.2">
      <c r="C2123" t="s">
        <v>607</v>
      </c>
      <c r="D2123" t="s">
        <v>3</v>
      </c>
      <c r="E2123" t="s">
        <v>3</v>
      </c>
      <c r="F2123">
        <v>0.89</v>
      </c>
      <c r="G2123">
        <v>1.49</v>
      </c>
      <c r="H2123">
        <v>2.2000000000000002</v>
      </c>
      <c r="I2123">
        <v>2.7</v>
      </c>
      <c r="J2123">
        <v>2.92</v>
      </c>
      <c r="K2123">
        <v>3.1</v>
      </c>
      <c r="L2123">
        <v>3.11</v>
      </c>
      <c r="M2123">
        <v>3.11</v>
      </c>
      <c r="N2123" s="92" t="s">
        <v>3</v>
      </c>
    </row>
    <row r="2124" spans="2:14" x14ac:dyDescent="0.2">
      <c r="C2124" t="s">
        <v>608</v>
      </c>
      <c r="D2124">
        <v>0.81</v>
      </c>
      <c r="E2124">
        <v>1.38</v>
      </c>
      <c r="F2124">
        <v>1.83</v>
      </c>
      <c r="G2124">
        <v>2.37</v>
      </c>
      <c r="H2124">
        <v>3.15</v>
      </c>
      <c r="I2124">
        <v>4.28</v>
      </c>
      <c r="J2124">
        <v>6.13</v>
      </c>
      <c r="K2124">
        <v>7.37</v>
      </c>
      <c r="L2124">
        <v>8.9</v>
      </c>
      <c r="M2124">
        <v>10.25</v>
      </c>
      <c r="N2124" s="92">
        <v>1.01</v>
      </c>
    </row>
    <row r="2125" spans="2:14" x14ac:dyDescent="0.2">
      <c r="C2125" t="s">
        <v>609</v>
      </c>
      <c r="D2125">
        <v>0.81</v>
      </c>
      <c r="E2125">
        <v>1.38</v>
      </c>
      <c r="F2125">
        <v>1.03</v>
      </c>
      <c r="G2125">
        <v>0.92</v>
      </c>
      <c r="H2125">
        <v>0.7</v>
      </c>
      <c r="I2125">
        <v>0.4</v>
      </c>
      <c r="J2125">
        <v>0.1</v>
      </c>
      <c r="K2125">
        <v>0.01</v>
      </c>
      <c r="L2125" t="s">
        <v>3</v>
      </c>
      <c r="M2125" t="s">
        <v>3</v>
      </c>
      <c r="N2125" s="92">
        <v>1.01</v>
      </c>
    </row>
    <row r="2126" spans="2:14" x14ac:dyDescent="0.2">
      <c r="C2126" t="s">
        <v>610</v>
      </c>
      <c r="D2126" t="s">
        <v>572</v>
      </c>
      <c r="E2126" t="s">
        <v>3</v>
      </c>
      <c r="F2126">
        <v>0.8</v>
      </c>
      <c r="G2126">
        <v>1.45</v>
      </c>
      <c r="H2126">
        <v>2.4500000000000002</v>
      </c>
      <c r="I2126">
        <v>3.88</v>
      </c>
      <c r="J2126">
        <v>6.03</v>
      </c>
      <c r="K2126">
        <v>7.36</v>
      </c>
      <c r="L2126">
        <v>8.9</v>
      </c>
      <c r="M2126">
        <v>10.25</v>
      </c>
      <c r="N2126" s="92" t="s">
        <v>3</v>
      </c>
    </row>
    <row r="2127" spans="2:14" x14ac:dyDescent="0.2">
      <c r="C2127" t="s">
        <v>580</v>
      </c>
      <c r="D2127">
        <v>0.01</v>
      </c>
      <c r="E2127">
        <v>0.08</v>
      </c>
      <c r="F2127">
        <v>0.21</v>
      </c>
      <c r="G2127">
        <v>0.34</v>
      </c>
      <c r="H2127">
        <v>0.55000000000000004</v>
      </c>
      <c r="I2127">
        <v>0.96</v>
      </c>
      <c r="J2127">
        <v>2.52</v>
      </c>
      <c r="K2127">
        <v>3.48</v>
      </c>
      <c r="L2127">
        <v>4.7300000000000004</v>
      </c>
      <c r="M2127">
        <v>5.92</v>
      </c>
      <c r="N2127" s="92">
        <v>0.02</v>
      </c>
    </row>
    <row r="2128" spans="2:14" x14ac:dyDescent="0.2">
      <c r="C2128" t="s">
        <v>581</v>
      </c>
      <c r="D2128">
        <v>0</v>
      </c>
      <c r="E2128">
        <v>0.04</v>
      </c>
      <c r="F2128">
        <v>0.09</v>
      </c>
      <c r="G2128">
        <v>0.14000000000000001</v>
      </c>
      <c r="H2128">
        <v>0.25</v>
      </c>
      <c r="I2128">
        <v>0.56999999999999995</v>
      </c>
      <c r="J2128">
        <v>0.77</v>
      </c>
      <c r="K2128">
        <v>1.02</v>
      </c>
      <c r="L2128">
        <v>1.25</v>
      </c>
      <c r="M2128">
        <v>1.41</v>
      </c>
      <c r="N2128" s="92">
        <v>0.01</v>
      </c>
    </row>
    <row r="2129" spans="3:14" x14ac:dyDescent="0.2">
      <c r="C2129" t="s">
        <v>582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 s="92">
        <v>0</v>
      </c>
    </row>
    <row r="2130" spans="3:14" x14ac:dyDescent="0.2">
      <c r="C2130" t="s">
        <v>47</v>
      </c>
      <c r="D2130" t="s">
        <v>572</v>
      </c>
      <c r="E2130" t="s">
        <v>3</v>
      </c>
      <c r="F2130">
        <v>0.03</v>
      </c>
      <c r="G2130">
        <v>0.1</v>
      </c>
      <c r="H2130">
        <v>0.2</v>
      </c>
      <c r="I2130">
        <v>0.33</v>
      </c>
      <c r="J2130">
        <v>0.39</v>
      </c>
      <c r="K2130">
        <v>0.39</v>
      </c>
      <c r="L2130">
        <v>0.42</v>
      </c>
      <c r="M2130">
        <v>0.42</v>
      </c>
      <c r="N2130" s="92" t="s">
        <v>572</v>
      </c>
    </row>
    <row r="2131" spans="3:14" x14ac:dyDescent="0.2">
      <c r="C2131" t="s">
        <v>583</v>
      </c>
      <c r="D2131">
        <v>0.01</v>
      </c>
      <c r="E2131">
        <v>0.14000000000000001</v>
      </c>
      <c r="F2131">
        <v>0.3</v>
      </c>
      <c r="G2131">
        <v>0.42</v>
      </c>
      <c r="H2131">
        <v>0.56999999999999995</v>
      </c>
      <c r="I2131">
        <v>0.69</v>
      </c>
      <c r="J2131">
        <v>0.65</v>
      </c>
      <c r="K2131">
        <v>0.67</v>
      </c>
      <c r="L2131">
        <v>0.68</v>
      </c>
      <c r="M2131">
        <v>0.68</v>
      </c>
      <c r="N2131" s="92">
        <v>0.03</v>
      </c>
    </row>
    <row r="2132" spans="3:14" x14ac:dyDescent="0.2">
      <c r="C2132" t="s">
        <v>584</v>
      </c>
      <c r="D2132">
        <v>0.01</v>
      </c>
      <c r="E2132">
        <v>0.08</v>
      </c>
      <c r="F2132">
        <v>0.16</v>
      </c>
      <c r="G2132">
        <v>0.26</v>
      </c>
      <c r="H2132">
        <v>0.38</v>
      </c>
      <c r="I2132">
        <v>0.48</v>
      </c>
      <c r="J2132">
        <v>0.51</v>
      </c>
      <c r="K2132">
        <v>0.52</v>
      </c>
      <c r="L2132">
        <v>0.53</v>
      </c>
      <c r="M2132">
        <v>0.53</v>
      </c>
      <c r="N2132" s="92">
        <v>0.02</v>
      </c>
    </row>
    <row r="2133" spans="3:14" x14ac:dyDescent="0.2">
      <c r="C2133" t="s">
        <v>585</v>
      </c>
      <c r="D2133">
        <v>0.09</v>
      </c>
      <c r="E2133">
        <v>0.12</v>
      </c>
      <c r="F2133">
        <v>0.1</v>
      </c>
      <c r="G2133">
        <v>0.16</v>
      </c>
      <c r="H2133">
        <v>0.22</v>
      </c>
      <c r="I2133">
        <v>0.27</v>
      </c>
      <c r="J2133">
        <v>0.28999999999999998</v>
      </c>
      <c r="K2133">
        <v>0.28999999999999998</v>
      </c>
      <c r="L2133">
        <v>0.3</v>
      </c>
      <c r="M2133">
        <v>0.3</v>
      </c>
      <c r="N2133" s="92">
        <v>0.11</v>
      </c>
    </row>
    <row r="2134" spans="3:14" x14ac:dyDescent="0.2">
      <c r="C2134" t="s">
        <v>586</v>
      </c>
      <c r="D2134">
        <v>0.63</v>
      </c>
      <c r="E2134">
        <v>0.92</v>
      </c>
      <c r="F2134">
        <v>0.94</v>
      </c>
      <c r="G2134">
        <v>0.94</v>
      </c>
      <c r="H2134">
        <v>0.97</v>
      </c>
      <c r="I2134">
        <v>0.98</v>
      </c>
      <c r="J2134">
        <v>0.98</v>
      </c>
      <c r="K2134">
        <v>0.99</v>
      </c>
      <c r="L2134">
        <v>0.99</v>
      </c>
      <c r="M2134">
        <v>0.99</v>
      </c>
      <c r="N2134" s="92">
        <v>0.8</v>
      </c>
    </row>
    <row r="2135" spans="3:14" x14ac:dyDescent="0.2">
      <c r="C2135" t="s">
        <v>587</v>
      </c>
      <c r="D2135">
        <v>0.04</v>
      </c>
      <c r="E2135">
        <v>0</v>
      </c>
      <c r="F2135">
        <v>0.01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 s="92">
        <v>0.02</v>
      </c>
    </row>
    <row r="2136" spans="3:14" x14ac:dyDescent="0.2">
      <c r="C2136" t="s">
        <v>588</v>
      </c>
      <c r="D2136" s="20">
        <f t="shared" ref="D2136:I2136" si="886">D2116+D2119+D2120+D2124</f>
        <v>65.710000000000008</v>
      </c>
      <c r="E2136" s="20">
        <f t="shared" si="886"/>
        <v>64.11</v>
      </c>
      <c r="F2136" s="20">
        <f t="shared" si="886"/>
        <v>67.819999999999993</v>
      </c>
      <c r="G2136" s="20">
        <f t="shared" si="886"/>
        <v>69.47</v>
      </c>
      <c r="H2136" s="20">
        <f t="shared" si="886"/>
        <v>67.680000000000007</v>
      </c>
      <c r="I2136" s="20">
        <f t="shared" si="886"/>
        <v>64.88000000000001</v>
      </c>
      <c r="J2136" s="20">
        <f>J2116+J2120+J2124</f>
        <v>70.16</v>
      </c>
      <c r="K2136" s="20">
        <f>K2116+K2120+K2124</f>
        <v>70.83</v>
      </c>
      <c r="L2136" s="20">
        <f>L2116+L2120+L2124</f>
        <v>72.48</v>
      </c>
      <c r="M2136" s="20">
        <f>M2116+M2120+M2124</f>
        <v>73.489999999999995</v>
      </c>
      <c r="N2136" s="94">
        <f>N2116+N2119+N2120+N2124</f>
        <v>59.32</v>
      </c>
    </row>
    <row r="2137" spans="3:14" x14ac:dyDescent="0.2">
      <c r="C2137" t="s">
        <v>654</v>
      </c>
      <c r="D2137">
        <v>-2.2200000000000002</v>
      </c>
      <c r="E2137">
        <v>-2.56</v>
      </c>
      <c r="F2137">
        <v>-4.34</v>
      </c>
      <c r="G2137">
        <v>-7.54</v>
      </c>
      <c r="H2137">
        <v>-7.54</v>
      </c>
      <c r="I2137">
        <v>-7.54</v>
      </c>
      <c r="J2137">
        <v>-7.54</v>
      </c>
      <c r="K2137">
        <v>-7.54</v>
      </c>
      <c r="L2137">
        <v>-7.54</v>
      </c>
      <c r="M2137">
        <v>-7.54</v>
      </c>
      <c r="N2137" s="92">
        <v>-2.2200000000000002</v>
      </c>
    </row>
    <row r="2138" spans="3:14" x14ac:dyDescent="0.2">
      <c r="C2138" s="14" t="s">
        <v>590</v>
      </c>
      <c r="D2138" s="32">
        <f>D2136+D2137</f>
        <v>63.490000000000009</v>
      </c>
      <c r="E2138" s="32">
        <f t="shared" ref="E2138:M2138" si="887">E2136+E2137</f>
        <v>61.55</v>
      </c>
      <c r="F2138" s="32">
        <f t="shared" si="887"/>
        <v>63.47999999999999</v>
      </c>
      <c r="G2138" s="32">
        <f t="shared" si="887"/>
        <v>61.93</v>
      </c>
      <c r="H2138" s="32">
        <f t="shared" si="887"/>
        <v>60.140000000000008</v>
      </c>
      <c r="I2138" s="32">
        <f t="shared" si="887"/>
        <v>57.340000000000011</v>
      </c>
      <c r="J2138" s="32">
        <f t="shared" si="887"/>
        <v>62.62</v>
      </c>
      <c r="K2138" s="32">
        <f t="shared" si="887"/>
        <v>63.29</v>
      </c>
      <c r="L2138" s="32">
        <f t="shared" si="887"/>
        <v>64.94</v>
      </c>
      <c r="M2138" s="32">
        <f t="shared" si="887"/>
        <v>65.949999999999989</v>
      </c>
      <c r="N2138" s="95">
        <f>N2136+N2137</f>
        <v>57.1</v>
      </c>
    </row>
    <row r="2139" spans="3:14" x14ac:dyDescent="0.2">
      <c r="C2139" t="s">
        <v>591</v>
      </c>
      <c r="D2139">
        <v>18.72</v>
      </c>
      <c r="E2139">
        <v>17.239999999999998</v>
      </c>
      <c r="F2139">
        <v>17.239999999999998</v>
      </c>
      <c r="G2139">
        <v>10.06</v>
      </c>
      <c r="H2139">
        <v>8.42</v>
      </c>
      <c r="I2139">
        <v>8.42</v>
      </c>
      <c r="J2139">
        <v>2.61</v>
      </c>
      <c r="K2139">
        <v>1.3</v>
      </c>
      <c r="N2139" s="92">
        <v>17.98</v>
      </c>
    </row>
    <row r="2140" spans="3:14" x14ac:dyDescent="0.2">
      <c r="C2140" t="s">
        <v>592</v>
      </c>
      <c r="D2140">
        <v>18.72</v>
      </c>
      <c r="E2140">
        <v>17.239999999999998</v>
      </c>
      <c r="F2140">
        <v>17.239999999999998</v>
      </c>
      <c r="G2140">
        <v>10.06</v>
      </c>
      <c r="H2140">
        <v>8.42</v>
      </c>
      <c r="I2140">
        <v>8.42</v>
      </c>
      <c r="J2140">
        <v>2.61</v>
      </c>
      <c r="K2140">
        <v>1.3</v>
      </c>
      <c r="L2140" t="s">
        <v>3</v>
      </c>
      <c r="M2140" t="s">
        <v>3</v>
      </c>
      <c r="N2140" s="92">
        <v>17.98</v>
      </c>
    </row>
    <row r="2141" spans="3:14" x14ac:dyDescent="0.2">
      <c r="C2141" t="s">
        <v>593</v>
      </c>
      <c r="D2141" t="s">
        <v>572</v>
      </c>
      <c r="E2141" t="s">
        <v>3</v>
      </c>
      <c r="F2141" t="s">
        <v>3</v>
      </c>
      <c r="G2141" t="s">
        <v>3</v>
      </c>
      <c r="H2141" t="s">
        <v>3</v>
      </c>
      <c r="I2141" t="s">
        <v>3</v>
      </c>
      <c r="J2141" t="s">
        <v>572</v>
      </c>
      <c r="K2141" t="s">
        <v>3</v>
      </c>
      <c r="L2141" t="s">
        <v>3</v>
      </c>
      <c r="M2141" t="s">
        <v>3</v>
      </c>
      <c r="N2141" s="92" t="s">
        <v>3</v>
      </c>
    </row>
    <row r="2142" spans="3:14" x14ac:dyDescent="0.2">
      <c r="C2142" t="s">
        <v>594</v>
      </c>
      <c r="D2142">
        <v>26.07</v>
      </c>
      <c r="E2142">
        <v>15.19</v>
      </c>
      <c r="F2142">
        <v>15.64</v>
      </c>
      <c r="G2142">
        <v>7.99</v>
      </c>
      <c r="H2142">
        <v>5.53</v>
      </c>
      <c r="I2142">
        <v>3.07</v>
      </c>
      <c r="J2142">
        <v>2.2599999999999998</v>
      </c>
      <c r="K2142">
        <v>0.66</v>
      </c>
      <c r="N2142" s="92">
        <v>13.75</v>
      </c>
    </row>
    <row r="2143" spans="3:14" x14ac:dyDescent="0.2">
      <c r="C2143" t="s">
        <v>612</v>
      </c>
      <c r="D2143">
        <v>2.83</v>
      </c>
      <c r="E2143">
        <v>2.2599999999999998</v>
      </c>
      <c r="F2143">
        <v>2.2599999999999998</v>
      </c>
      <c r="G2143">
        <v>2.2599999999999998</v>
      </c>
      <c r="H2143">
        <v>2.2599999999999998</v>
      </c>
      <c r="I2143">
        <v>2.2599999999999998</v>
      </c>
      <c r="J2143">
        <v>2.2599999999999998</v>
      </c>
      <c r="K2143">
        <v>0.66</v>
      </c>
      <c r="L2143" t="s">
        <v>572</v>
      </c>
      <c r="M2143" t="s">
        <v>3</v>
      </c>
      <c r="N2143" s="92">
        <v>2.2599999999999998</v>
      </c>
    </row>
    <row r="2144" spans="3:14" x14ac:dyDescent="0.2">
      <c r="C2144" t="s">
        <v>596</v>
      </c>
      <c r="D2144">
        <v>23.24</v>
      </c>
      <c r="E2144">
        <v>12.93</v>
      </c>
      <c r="F2144">
        <v>13.38</v>
      </c>
      <c r="G2144">
        <v>5.73</v>
      </c>
      <c r="H2144">
        <v>3.27</v>
      </c>
      <c r="I2144">
        <v>0.81</v>
      </c>
      <c r="J2144" t="s">
        <v>572</v>
      </c>
      <c r="K2144" t="s">
        <v>3</v>
      </c>
      <c r="L2144" t="s">
        <v>3</v>
      </c>
      <c r="M2144" t="s">
        <v>3</v>
      </c>
      <c r="N2144" s="92">
        <v>11.49</v>
      </c>
    </row>
    <row r="2145" spans="2:14" x14ac:dyDescent="0.2">
      <c r="C2145" s="14" t="s">
        <v>597</v>
      </c>
      <c r="D2145" s="32">
        <f>D2139-D2142</f>
        <v>-7.3500000000000014</v>
      </c>
      <c r="E2145" s="32">
        <f t="shared" ref="E2145:M2145" si="888">E2139-E2142</f>
        <v>2.0499999999999989</v>
      </c>
      <c r="F2145" s="32">
        <f t="shared" si="888"/>
        <v>1.5999999999999979</v>
      </c>
      <c r="G2145" s="32">
        <f t="shared" si="888"/>
        <v>2.0700000000000003</v>
      </c>
      <c r="H2145" s="32">
        <f t="shared" si="888"/>
        <v>2.8899999999999997</v>
      </c>
      <c r="I2145" s="32">
        <f t="shared" si="888"/>
        <v>5.35</v>
      </c>
      <c r="J2145" s="32">
        <f t="shared" si="888"/>
        <v>0.35000000000000009</v>
      </c>
      <c r="K2145" s="32">
        <f t="shared" si="888"/>
        <v>0.64</v>
      </c>
      <c r="L2145" s="32">
        <f t="shared" si="888"/>
        <v>0</v>
      </c>
      <c r="M2145" s="32">
        <f t="shared" si="888"/>
        <v>0</v>
      </c>
      <c r="N2145" s="95">
        <f>N2139-N2142</f>
        <v>4.2300000000000004</v>
      </c>
    </row>
    <row r="2146" spans="2:14" x14ac:dyDescent="0.2">
      <c r="C2146" t="s">
        <v>598</v>
      </c>
      <c r="D2146" s="20">
        <f>D2138+D2145</f>
        <v>56.140000000000008</v>
      </c>
      <c r="E2146" s="20">
        <f t="shared" ref="E2146:M2146" si="889">E2138+E2145</f>
        <v>63.599999999999994</v>
      </c>
      <c r="F2146" s="20">
        <f t="shared" si="889"/>
        <v>65.079999999999984</v>
      </c>
      <c r="G2146" s="20">
        <f t="shared" si="889"/>
        <v>64</v>
      </c>
      <c r="H2146" s="20">
        <f t="shared" si="889"/>
        <v>63.030000000000008</v>
      </c>
      <c r="I2146" s="20">
        <f t="shared" si="889"/>
        <v>62.690000000000012</v>
      </c>
      <c r="J2146" s="20">
        <f t="shared" si="889"/>
        <v>62.97</v>
      </c>
      <c r="K2146" s="20">
        <f t="shared" si="889"/>
        <v>63.93</v>
      </c>
      <c r="L2146" s="20">
        <f t="shared" si="889"/>
        <v>64.94</v>
      </c>
      <c r="M2146" s="20">
        <f t="shared" si="889"/>
        <v>65.949999999999989</v>
      </c>
      <c r="N2146" s="94">
        <f>N2138+N2145</f>
        <v>61.33</v>
      </c>
    </row>
    <row r="2147" spans="2:14" x14ac:dyDescent="0.2">
      <c r="N2147" s="92"/>
    </row>
    <row r="2148" spans="2:14" x14ac:dyDescent="0.2">
      <c r="C2148" t="s">
        <v>599</v>
      </c>
      <c r="D2148">
        <v>61.18</v>
      </c>
      <c r="E2148">
        <v>68.41</v>
      </c>
      <c r="F2148">
        <v>71.680000000000007</v>
      </c>
      <c r="G2148">
        <v>73.81</v>
      </c>
      <c r="H2148">
        <v>72.84</v>
      </c>
      <c r="I2148">
        <v>72.48</v>
      </c>
      <c r="J2148">
        <v>72.77</v>
      </c>
      <c r="K2148">
        <v>72.13</v>
      </c>
      <c r="L2148">
        <v>72.47</v>
      </c>
      <c r="M2148">
        <v>73.489999999999995</v>
      </c>
      <c r="N2148" s="92">
        <v>65.81</v>
      </c>
    </row>
    <row r="2149" spans="2:14" x14ac:dyDescent="0.2">
      <c r="N2149" s="92"/>
    </row>
    <row r="2150" spans="2:14" x14ac:dyDescent="0.2">
      <c r="N2150" s="92"/>
    </row>
    <row r="2151" spans="2:14" s="2" customFormat="1" ht="15" x14ac:dyDescent="0.25">
      <c r="B2151" s="2" t="s">
        <v>653</v>
      </c>
      <c r="C2151" s="9"/>
      <c r="N2151" s="96"/>
    </row>
    <row r="2152" spans="2:14" s="2" customFormat="1" ht="15" x14ac:dyDescent="0.25">
      <c r="B2152" s="2" t="s">
        <v>600</v>
      </c>
      <c r="N2152" s="96"/>
    </row>
    <row r="2153" spans="2:14" s="2" customFormat="1" ht="15" x14ac:dyDescent="0.25">
      <c r="B2153" s="13" t="s">
        <v>601</v>
      </c>
      <c r="D2153" s="2">
        <v>2000</v>
      </c>
      <c r="E2153" s="2">
        <v>2010</v>
      </c>
      <c r="F2153" s="2">
        <v>2015</v>
      </c>
      <c r="G2153" s="2">
        <v>2020</v>
      </c>
      <c r="H2153" s="2">
        <v>2025</v>
      </c>
      <c r="I2153" s="2">
        <v>2030</v>
      </c>
      <c r="J2153" s="2">
        <v>2035</v>
      </c>
      <c r="K2153" s="2">
        <v>2040</v>
      </c>
      <c r="L2153" s="2">
        <v>2045</v>
      </c>
      <c r="M2153" s="2">
        <v>2050</v>
      </c>
      <c r="N2153" s="96">
        <v>2005</v>
      </c>
    </row>
    <row r="2154" spans="2:14" x14ac:dyDescent="0.2">
      <c r="C2154" t="s">
        <v>568</v>
      </c>
      <c r="D2154">
        <v>17.71</v>
      </c>
      <c r="E2154">
        <v>14.16</v>
      </c>
      <c r="F2154">
        <v>16.989999999999998</v>
      </c>
      <c r="G2154">
        <v>18.8</v>
      </c>
      <c r="H2154">
        <v>19.04</v>
      </c>
      <c r="I2154">
        <v>19.25</v>
      </c>
      <c r="J2154">
        <v>19.41</v>
      </c>
      <c r="K2154">
        <v>19.62</v>
      </c>
      <c r="L2154">
        <v>19.670000000000002</v>
      </c>
      <c r="M2154">
        <v>19.87</v>
      </c>
      <c r="N2154" s="92">
        <v>15.56</v>
      </c>
    </row>
    <row r="2155" spans="2:14" x14ac:dyDescent="0.2">
      <c r="C2155" t="s">
        <v>633</v>
      </c>
      <c r="D2155">
        <v>17.71</v>
      </c>
      <c r="E2155">
        <v>14.16</v>
      </c>
      <c r="F2155">
        <v>15.95</v>
      </c>
      <c r="G2155">
        <v>16.09</v>
      </c>
      <c r="H2155">
        <v>16.239999999999998</v>
      </c>
      <c r="I2155">
        <v>16.39</v>
      </c>
      <c r="J2155">
        <v>16.47</v>
      </c>
      <c r="K2155">
        <v>16.59</v>
      </c>
      <c r="L2155">
        <v>16.53</v>
      </c>
      <c r="M2155">
        <v>16.63</v>
      </c>
      <c r="N2155" s="92">
        <v>15.56</v>
      </c>
    </row>
    <row r="2156" spans="2:14" x14ac:dyDescent="0.2">
      <c r="C2156" t="s">
        <v>603</v>
      </c>
      <c r="D2156" t="s">
        <v>572</v>
      </c>
      <c r="E2156" t="s">
        <v>3</v>
      </c>
      <c r="F2156">
        <v>1.04</v>
      </c>
      <c r="G2156">
        <v>2.72</v>
      </c>
      <c r="H2156">
        <v>2.79</v>
      </c>
      <c r="I2156">
        <v>2.86</v>
      </c>
      <c r="J2156">
        <v>2.94</v>
      </c>
      <c r="K2156">
        <v>3.02</v>
      </c>
      <c r="L2156">
        <v>3.14</v>
      </c>
      <c r="M2156">
        <v>3.24</v>
      </c>
      <c r="N2156" s="92" t="s">
        <v>3</v>
      </c>
    </row>
    <row r="2157" spans="2:14" x14ac:dyDescent="0.2">
      <c r="C2157" t="s">
        <v>571</v>
      </c>
      <c r="D2157">
        <v>13.72</v>
      </c>
      <c r="E2157">
        <v>14.17</v>
      </c>
      <c r="F2157">
        <v>13.5</v>
      </c>
      <c r="G2157">
        <v>11.91</v>
      </c>
      <c r="H2157">
        <v>8.7799999999999994</v>
      </c>
      <c r="I2157">
        <v>4.84</v>
      </c>
      <c r="J2157">
        <v>0</v>
      </c>
      <c r="K2157">
        <v>0</v>
      </c>
      <c r="L2157">
        <v>0</v>
      </c>
      <c r="M2157">
        <v>0</v>
      </c>
      <c r="N2157" s="92">
        <v>13.94</v>
      </c>
    </row>
    <row r="2158" spans="2:14" x14ac:dyDescent="0.2">
      <c r="C2158" t="s">
        <v>604</v>
      </c>
      <c r="D2158">
        <v>1.1100000000000001</v>
      </c>
      <c r="E2158">
        <v>1.3</v>
      </c>
      <c r="F2158">
        <v>1.6</v>
      </c>
      <c r="G2158">
        <v>2.78</v>
      </c>
      <c r="H2158">
        <v>5.72</v>
      </c>
      <c r="I2158">
        <v>8.7899999999999991</v>
      </c>
      <c r="J2158">
        <v>16.28</v>
      </c>
      <c r="K2158">
        <v>16.190000000000001</v>
      </c>
      <c r="L2158">
        <v>16.61</v>
      </c>
      <c r="M2158">
        <v>16.64</v>
      </c>
      <c r="N2158" s="92">
        <v>1.25</v>
      </c>
    </row>
    <row r="2159" spans="2:14" x14ac:dyDescent="0.2">
      <c r="C2159" t="s">
        <v>605</v>
      </c>
      <c r="D2159">
        <v>1.1100000000000001</v>
      </c>
      <c r="E2159">
        <v>1.3</v>
      </c>
      <c r="F2159">
        <v>1.05</v>
      </c>
      <c r="G2159">
        <v>0.86</v>
      </c>
      <c r="H2159">
        <v>0.53</v>
      </c>
      <c r="I2159">
        <v>0.34</v>
      </c>
      <c r="J2159">
        <v>0.18</v>
      </c>
      <c r="K2159" t="s">
        <v>3</v>
      </c>
      <c r="L2159" t="s">
        <v>3</v>
      </c>
      <c r="M2159" t="s">
        <v>3</v>
      </c>
      <c r="N2159" s="92">
        <v>1.25</v>
      </c>
    </row>
    <row r="2160" spans="2:14" x14ac:dyDescent="0.2">
      <c r="C2160" t="s">
        <v>606</v>
      </c>
      <c r="D2160" t="s">
        <v>3</v>
      </c>
      <c r="E2160" t="s">
        <v>3</v>
      </c>
      <c r="F2160" t="s">
        <v>3</v>
      </c>
      <c r="G2160">
        <v>0.97</v>
      </c>
      <c r="H2160">
        <v>3.78</v>
      </c>
      <c r="I2160">
        <v>6.74</v>
      </c>
      <c r="J2160">
        <v>14.26</v>
      </c>
      <c r="K2160">
        <v>14.24</v>
      </c>
      <c r="L2160">
        <v>14.66</v>
      </c>
      <c r="M2160">
        <v>14.69</v>
      </c>
      <c r="N2160" s="92" t="s">
        <v>3</v>
      </c>
    </row>
    <row r="2161" spans="3:14" x14ac:dyDescent="0.2">
      <c r="C2161" t="s">
        <v>607</v>
      </c>
      <c r="D2161" t="s">
        <v>3</v>
      </c>
      <c r="E2161" t="s">
        <v>3</v>
      </c>
      <c r="F2161">
        <v>0.55000000000000004</v>
      </c>
      <c r="G2161">
        <v>0.95</v>
      </c>
      <c r="H2161">
        <v>1.4</v>
      </c>
      <c r="I2161">
        <v>1.71</v>
      </c>
      <c r="J2161">
        <v>1.84</v>
      </c>
      <c r="K2161">
        <v>1.95</v>
      </c>
      <c r="L2161">
        <v>1.95</v>
      </c>
      <c r="M2161">
        <v>1.95</v>
      </c>
      <c r="N2161" s="92" t="s">
        <v>3</v>
      </c>
    </row>
    <row r="2162" spans="3:14" x14ac:dyDescent="0.2">
      <c r="C2162" t="s">
        <v>608</v>
      </c>
      <c r="D2162">
        <v>0.45</v>
      </c>
      <c r="E2162">
        <v>0.76</v>
      </c>
      <c r="F2162">
        <v>1.01</v>
      </c>
      <c r="G2162">
        <v>1.29</v>
      </c>
      <c r="H2162">
        <v>1.69</v>
      </c>
      <c r="I2162">
        <v>2.23</v>
      </c>
      <c r="J2162">
        <v>2.81</v>
      </c>
      <c r="K2162">
        <v>3.24</v>
      </c>
      <c r="L2162">
        <v>3.74</v>
      </c>
      <c r="M2162">
        <v>4.16</v>
      </c>
      <c r="N2162" s="92">
        <v>0.55000000000000004</v>
      </c>
    </row>
    <row r="2163" spans="3:14" x14ac:dyDescent="0.2">
      <c r="C2163" t="s">
        <v>609</v>
      </c>
      <c r="D2163">
        <v>0.45</v>
      </c>
      <c r="E2163">
        <v>0.76</v>
      </c>
      <c r="F2163">
        <v>0.56000000000000005</v>
      </c>
      <c r="G2163">
        <v>0.5</v>
      </c>
      <c r="H2163">
        <v>0.38</v>
      </c>
      <c r="I2163">
        <v>0.21</v>
      </c>
      <c r="J2163">
        <v>0.05</v>
      </c>
      <c r="K2163">
        <v>0</v>
      </c>
      <c r="L2163" t="s">
        <v>3</v>
      </c>
      <c r="M2163" t="s">
        <v>3</v>
      </c>
      <c r="N2163" s="92">
        <v>0.55000000000000004</v>
      </c>
    </row>
    <row r="2164" spans="3:14" x14ac:dyDescent="0.2">
      <c r="C2164" t="s">
        <v>610</v>
      </c>
      <c r="D2164" t="s">
        <v>3</v>
      </c>
      <c r="E2164" t="s">
        <v>3</v>
      </c>
      <c r="F2164">
        <v>0.45</v>
      </c>
      <c r="G2164">
        <v>0.79</v>
      </c>
      <c r="H2164">
        <v>1.31</v>
      </c>
      <c r="I2164">
        <v>2.02</v>
      </c>
      <c r="J2164">
        <v>2.75</v>
      </c>
      <c r="K2164">
        <v>3.24</v>
      </c>
      <c r="L2164">
        <v>3.74</v>
      </c>
      <c r="M2164">
        <v>4.16</v>
      </c>
      <c r="N2164" s="92" t="s">
        <v>3</v>
      </c>
    </row>
    <row r="2165" spans="3:14" x14ac:dyDescent="0.2">
      <c r="C2165" t="s">
        <v>580</v>
      </c>
      <c r="D2165">
        <v>0</v>
      </c>
      <c r="E2165">
        <v>0.02</v>
      </c>
      <c r="F2165">
        <v>0.06</v>
      </c>
      <c r="G2165">
        <v>0.09</v>
      </c>
      <c r="H2165">
        <v>0.15</v>
      </c>
      <c r="I2165">
        <v>0.26</v>
      </c>
      <c r="J2165">
        <v>0.68</v>
      </c>
      <c r="K2165">
        <v>0.94</v>
      </c>
      <c r="L2165">
        <v>1.28</v>
      </c>
      <c r="M2165">
        <v>1.6</v>
      </c>
      <c r="N2165" s="92">
        <v>0.01</v>
      </c>
    </row>
    <row r="2166" spans="3:14" x14ac:dyDescent="0.2">
      <c r="C2166" t="s">
        <v>581</v>
      </c>
      <c r="D2166">
        <v>0</v>
      </c>
      <c r="E2166">
        <v>0.02</v>
      </c>
      <c r="F2166">
        <v>0.05</v>
      </c>
      <c r="G2166">
        <v>0.09</v>
      </c>
      <c r="H2166">
        <v>0.15</v>
      </c>
      <c r="I2166">
        <v>0.34</v>
      </c>
      <c r="J2166">
        <v>0.46</v>
      </c>
      <c r="K2166">
        <v>0.61</v>
      </c>
      <c r="L2166">
        <v>0.75</v>
      </c>
      <c r="M2166">
        <v>0.85</v>
      </c>
      <c r="N2166" s="92">
        <v>0.01</v>
      </c>
    </row>
    <row r="2167" spans="3:14" x14ac:dyDescent="0.2">
      <c r="C2167" t="s">
        <v>582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 s="92">
        <v>0</v>
      </c>
    </row>
    <row r="2168" spans="3:14" x14ac:dyDescent="0.2">
      <c r="C2168" t="s">
        <v>47</v>
      </c>
      <c r="D2168" t="s">
        <v>3</v>
      </c>
      <c r="E2168" t="s">
        <v>3</v>
      </c>
      <c r="F2168">
        <v>0.02</v>
      </c>
      <c r="G2168">
        <v>0.05</v>
      </c>
      <c r="H2168">
        <v>0.1</v>
      </c>
      <c r="I2168">
        <v>0.16</v>
      </c>
      <c r="J2168">
        <v>0.2</v>
      </c>
      <c r="K2168">
        <v>0.2</v>
      </c>
      <c r="L2168">
        <v>0.21</v>
      </c>
      <c r="M2168">
        <v>0.21</v>
      </c>
      <c r="N2168" s="92" t="s">
        <v>3</v>
      </c>
    </row>
    <row r="2169" spans="3:14" x14ac:dyDescent="0.2">
      <c r="C2169" t="s">
        <v>583</v>
      </c>
      <c r="D2169">
        <v>0.01</v>
      </c>
      <c r="E2169">
        <v>0.09</v>
      </c>
      <c r="F2169">
        <v>0.21</v>
      </c>
      <c r="G2169">
        <v>0.28999999999999998</v>
      </c>
      <c r="H2169">
        <v>0.39</v>
      </c>
      <c r="I2169">
        <v>0.47</v>
      </c>
      <c r="J2169">
        <v>0.44</v>
      </c>
      <c r="K2169">
        <v>0.45</v>
      </c>
      <c r="L2169">
        <v>0.45</v>
      </c>
      <c r="M2169">
        <v>0.45</v>
      </c>
      <c r="N2169" s="92">
        <v>0.02</v>
      </c>
    </row>
    <row r="2170" spans="3:14" x14ac:dyDescent="0.2">
      <c r="C2170" t="s">
        <v>584</v>
      </c>
      <c r="D2170">
        <v>0.01</v>
      </c>
      <c r="E2170">
        <v>0.05</v>
      </c>
      <c r="F2170">
        <v>0.1</v>
      </c>
      <c r="G2170">
        <v>0.16</v>
      </c>
      <c r="H2170">
        <v>0.23</v>
      </c>
      <c r="I2170">
        <v>0.3</v>
      </c>
      <c r="J2170">
        <v>0.32</v>
      </c>
      <c r="K2170">
        <v>0.33</v>
      </c>
      <c r="L2170">
        <v>0.33</v>
      </c>
      <c r="M2170">
        <v>0.33</v>
      </c>
      <c r="N2170" s="92">
        <v>0.01</v>
      </c>
    </row>
    <row r="2171" spans="3:14" x14ac:dyDescent="0.2">
      <c r="C2171" t="s">
        <v>585</v>
      </c>
      <c r="D2171">
        <v>0.05</v>
      </c>
      <c r="E2171">
        <v>7.0000000000000007E-2</v>
      </c>
      <c r="F2171">
        <v>0.06</v>
      </c>
      <c r="G2171">
        <v>0.09</v>
      </c>
      <c r="H2171">
        <v>0.13</v>
      </c>
      <c r="I2171">
        <v>0.16</v>
      </c>
      <c r="J2171">
        <v>0.17</v>
      </c>
      <c r="K2171">
        <v>0.17</v>
      </c>
      <c r="L2171">
        <v>0.18</v>
      </c>
      <c r="M2171">
        <v>0.18</v>
      </c>
      <c r="N2171" s="92">
        <v>0.06</v>
      </c>
    </row>
    <row r="2172" spans="3:14" x14ac:dyDescent="0.2">
      <c r="C2172" t="s">
        <v>586</v>
      </c>
      <c r="D2172">
        <v>0.35</v>
      </c>
      <c r="E2172">
        <v>0.51</v>
      </c>
      <c r="F2172">
        <v>0.52</v>
      </c>
      <c r="G2172">
        <v>0.52</v>
      </c>
      <c r="H2172">
        <v>0.54</v>
      </c>
      <c r="I2172">
        <v>0.54</v>
      </c>
      <c r="J2172">
        <v>0.54</v>
      </c>
      <c r="K2172">
        <v>0.54</v>
      </c>
      <c r="L2172">
        <v>0.54</v>
      </c>
      <c r="M2172">
        <v>0.54</v>
      </c>
      <c r="N2172" s="92">
        <v>0.44</v>
      </c>
    </row>
    <row r="2173" spans="3:14" x14ac:dyDescent="0.2">
      <c r="C2173" t="s">
        <v>587</v>
      </c>
      <c r="D2173">
        <v>0.02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 s="92">
        <v>0.01</v>
      </c>
    </row>
    <row r="2174" spans="3:14" x14ac:dyDescent="0.2">
      <c r="C2174" t="s">
        <v>588</v>
      </c>
      <c r="D2174" s="20">
        <f t="shared" ref="D2174:I2174" si="890">D2154+D2157+D2158+D2162</f>
        <v>32.99</v>
      </c>
      <c r="E2174" s="20">
        <f t="shared" si="890"/>
        <v>30.39</v>
      </c>
      <c r="F2174" s="20">
        <f t="shared" si="890"/>
        <v>33.099999999999994</v>
      </c>
      <c r="G2174" s="20">
        <f t="shared" si="890"/>
        <v>34.78</v>
      </c>
      <c r="H2174" s="20">
        <f t="shared" si="890"/>
        <v>35.229999999999997</v>
      </c>
      <c r="I2174" s="20">
        <f t="shared" si="890"/>
        <v>35.109999999999992</v>
      </c>
      <c r="J2174" s="20">
        <f>J2154+J2158+J2162</f>
        <v>38.5</v>
      </c>
      <c r="K2174" s="20">
        <f>K2154+K2158+K2162</f>
        <v>39.050000000000004</v>
      </c>
      <c r="L2174" s="20">
        <f>L2154+L2158+L2162</f>
        <v>40.020000000000003</v>
      </c>
      <c r="M2174" s="20">
        <f>M2154+M2158+M2162</f>
        <v>40.67</v>
      </c>
      <c r="N2174" s="94">
        <f>N2154+N2157+N2158+N2162</f>
        <v>31.3</v>
      </c>
    </row>
    <row r="2175" spans="3:14" x14ac:dyDescent="0.2">
      <c r="C2175" t="s">
        <v>589</v>
      </c>
      <c r="D2175">
        <v>-0.89</v>
      </c>
      <c r="E2175">
        <v>-1.02</v>
      </c>
      <c r="F2175">
        <v>-2.13</v>
      </c>
      <c r="G2175">
        <v>-4.12</v>
      </c>
      <c r="H2175">
        <v>-4.12</v>
      </c>
      <c r="I2175">
        <v>-4.12</v>
      </c>
      <c r="J2175">
        <v>-4.12</v>
      </c>
      <c r="K2175">
        <v>-4.12</v>
      </c>
      <c r="L2175">
        <v>-4.12</v>
      </c>
      <c r="M2175">
        <v>-4.12</v>
      </c>
      <c r="N2175" s="92">
        <v>-0.89</v>
      </c>
    </row>
    <row r="2176" spans="3:14" x14ac:dyDescent="0.2">
      <c r="C2176" s="14" t="s">
        <v>590</v>
      </c>
      <c r="D2176" s="32">
        <f>D2174+D2175</f>
        <v>32.1</v>
      </c>
      <c r="E2176" s="32">
        <f t="shared" ref="E2176:M2176" si="891">E2174+E2175</f>
        <v>29.37</v>
      </c>
      <c r="F2176" s="32">
        <f t="shared" si="891"/>
        <v>30.969999999999995</v>
      </c>
      <c r="G2176" s="32">
        <f t="shared" si="891"/>
        <v>30.66</v>
      </c>
      <c r="H2176" s="32">
        <f t="shared" si="891"/>
        <v>31.109999999999996</v>
      </c>
      <c r="I2176" s="32">
        <f t="shared" si="891"/>
        <v>30.989999999999991</v>
      </c>
      <c r="J2176" s="32">
        <f t="shared" si="891"/>
        <v>34.380000000000003</v>
      </c>
      <c r="K2176" s="32">
        <f t="shared" si="891"/>
        <v>34.930000000000007</v>
      </c>
      <c r="L2176" s="32">
        <f t="shared" si="891"/>
        <v>35.900000000000006</v>
      </c>
      <c r="M2176" s="32">
        <f t="shared" si="891"/>
        <v>36.550000000000004</v>
      </c>
      <c r="N2176" s="95">
        <f>N2174+N2175</f>
        <v>30.41</v>
      </c>
    </row>
    <row r="2177" spans="2:14" x14ac:dyDescent="0.2">
      <c r="C2177" t="s">
        <v>591</v>
      </c>
      <c r="D2177">
        <v>10.16</v>
      </c>
      <c r="E2177">
        <v>9.36</v>
      </c>
      <c r="F2177">
        <v>9.36</v>
      </c>
      <c r="G2177">
        <v>5.46</v>
      </c>
      <c r="H2177">
        <v>4.57</v>
      </c>
      <c r="I2177">
        <v>4.57</v>
      </c>
      <c r="J2177">
        <v>1.42</v>
      </c>
      <c r="K2177">
        <v>0.71</v>
      </c>
      <c r="N2177" s="92">
        <v>9.76</v>
      </c>
    </row>
    <row r="2178" spans="2:14" x14ac:dyDescent="0.2">
      <c r="C2178" t="s">
        <v>592</v>
      </c>
      <c r="D2178">
        <v>10.16</v>
      </c>
      <c r="E2178">
        <v>9.36</v>
      </c>
      <c r="F2178">
        <v>9.36</v>
      </c>
      <c r="G2178">
        <v>5.46</v>
      </c>
      <c r="H2178">
        <v>4.57</v>
      </c>
      <c r="I2178">
        <v>4.57</v>
      </c>
      <c r="J2178">
        <v>1.42</v>
      </c>
      <c r="K2178">
        <v>0.71</v>
      </c>
      <c r="L2178" t="s">
        <v>3</v>
      </c>
      <c r="M2178" t="s">
        <v>3</v>
      </c>
      <c r="N2178" s="92">
        <v>9.76</v>
      </c>
    </row>
    <row r="2179" spans="2:14" x14ac:dyDescent="0.2">
      <c r="C2179" t="s">
        <v>593</v>
      </c>
      <c r="D2179" t="s">
        <v>3</v>
      </c>
      <c r="E2179" t="s">
        <v>3</v>
      </c>
      <c r="F2179" t="s">
        <v>3</v>
      </c>
      <c r="G2179" t="s">
        <v>3</v>
      </c>
      <c r="H2179" t="s">
        <v>3</v>
      </c>
      <c r="I2179" t="s">
        <v>3</v>
      </c>
      <c r="J2179" t="s">
        <v>3</v>
      </c>
      <c r="K2179" t="s">
        <v>3</v>
      </c>
      <c r="L2179" t="s">
        <v>3</v>
      </c>
      <c r="M2179" t="s">
        <v>3</v>
      </c>
      <c r="N2179" s="92" t="s">
        <v>3</v>
      </c>
    </row>
    <row r="2180" spans="2:14" x14ac:dyDescent="0.2">
      <c r="C2180" t="s">
        <v>594</v>
      </c>
      <c r="D2180">
        <v>11.67</v>
      </c>
      <c r="E2180">
        <v>4.0999999999999996</v>
      </c>
      <c r="F2180">
        <v>4.82</v>
      </c>
      <c r="G2180">
        <v>1.1299999999999999</v>
      </c>
      <c r="H2180">
        <v>1.1299999999999999</v>
      </c>
      <c r="I2180">
        <v>1.1200000000000001</v>
      </c>
      <c r="J2180">
        <v>1.1299999999999999</v>
      </c>
      <c r="K2180">
        <v>0.36</v>
      </c>
      <c r="L2180">
        <v>0</v>
      </c>
      <c r="M2180">
        <v>0</v>
      </c>
      <c r="N2180" s="92">
        <v>6.85</v>
      </c>
    </row>
    <row r="2181" spans="2:14" x14ac:dyDescent="0.2">
      <c r="C2181" t="s">
        <v>612</v>
      </c>
      <c r="D2181">
        <v>1.47</v>
      </c>
      <c r="E2181">
        <v>1.1299999999999999</v>
      </c>
      <c r="F2181">
        <v>1.1299999999999999</v>
      </c>
      <c r="G2181">
        <v>1.1299999999999999</v>
      </c>
      <c r="H2181">
        <v>1.1299999999999999</v>
      </c>
      <c r="I2181">
        <v>1.1299999999999999</v>
      </c>
      <c r="J2181">
        <v>1.1299999999999999</v>
      </c>
      <c r="K2181">
        <v>0.36</v>
      </c>
      <c r="L2181" t="s">
        <v>3</v>
      </c>
      <c r="M2181" t="s">
        <v>3</v>
      </c>
      <c r="N2181" s="92">
        <v>1.1299999999999999</v>
      </c>
    </row>
    <row r="2182" spans="2:14" x14ac:dyDescent="0.2">
      <c r="C2182" t="s">
        <v>596</v>
      </c>
      <c r="D2182">
        <v>10.199999999999999</v>
      </c>
      <c r="E2182">
        <v>2.97</v>
      </c>
      <c r="F2182">
        <v>3.69</v>
      </c>
      <c r="G2182">
        <v>0</v>
      </c>
      <c r="H2182" t="s">
        <v>3</v>
      </c>
      <c r="I2182">
        <v>0</v>
      </c>
      <c r="J2182" t="s">
        <v>572</v>
      </c>
      <c r="K2182" t="s">
        <v>3</v>
      </c>
      <c r="L2182">
        <v>0</v>
      </c>
      <c r="M2182">
        <v>0</v>
      </c>
      <c r="N2182" s="92">
        <v>5.72</v>
      </c>
    </row>
    <row r="2183" spans="2:14" x14ac:dyDescent="0.2">
      <c r="C2183" s="14" t="s">
        <v>597</v>
      </c>
      <c r="D2183" s="32">
        <f>D2177-D2180</f>
        <v>-1.5099999999999998</v>
      </c>
      <c r="E2183" s="32">
        <f t="shared" ref="E2183:M2183" si="892">E2177-E2180</f>
        <v>5.26</v>
      </c>
      <c r="F2183" s="32">
        <f t="shared" si="892"/>
        <v>4.5399999999999991</v>
      </c>
      <c r="G2183" s="32">
        <f t="shared" si="892"/>
        <v>4.33</v>
      </c>
      <c r="H2183" s="32">
        <f t="shared" si="892"/>
        <v>3.4400000000000004</v>
      </c>
      <c r="I2183" s="32">
        <f t="shared" si="892"/>
        <v>3.45</v>
      </c>
      <c r="J2183" s="32">
        <f t="shared" si="892"/>
        <v>0.29000000000000004</v>
      </c>
      <c r="K2183" s="32">
        <f t="shared" si="892"/>
        <v>0.35</v>
      </c>
      <c r="L2183" s="32">
        <f t="shared" si="892"/>
        <v>0</v>
      </c>
      <c r="M2183" s="32">
        <f t="shared" si="892"/>
        <v>0</v>
      </c>
      <c r="N2183" s="95">
        <f>N2177-N2180</f>
        <v>2.91</v>
      </c>
    </row>
    <row r="2184" spans="2:14" x14ac:dyDescent="0.2">
      <c r="C2184" t="s">
        <v>598</v>
      </c>
      <c r="D2184" s="20">
        <f>D2176+D2183</f>
        <v>30.590000000000003</v>
      </c>
      <c r="E2184" s="20">
        <f t="shared" ref="E2184:M2184" si="893">E2176+E2183</f>
        <v>34.630000000000003</v>
      </c>
      <c r="F2184" s="20">
        <f t="shared" si="893"/>
        <v>35.509999999999991</v>
      </c>
      <c r="G2184" s="20">
        <f t="shared" si="893"/>
        <v>34.99</v>
      </c>
      <c r="H2184" s="20">
        <f t="shared" si="893"/>
        <v>34.549999999999997</v>
      </c>
      <c r="I2184" s="20">
        <f t="shared" si="893"/>
        <v>34.439999999999991</v>
      </c>
      <c r="J2184" s="20">
        <f t="shared" si="893"/>
        <v>34.67</v>
      </c>
      <c r="K2184" s="20">
        <f t="shared" si="893"/>
        <v>35.280000000000008</v>
      </c>
      <c r="L2184" s="20">
        <f t="shared" si="893"/>
        <v>35.900000000000006</v>
      </c>
      <c r="M2184" s="20">
        <f t="shared" si="893"/>
        <v>36.550000000000004</v>
      </c>
      <c r="N2184" s="94">
        <f>N2176+N2183</f>
        <v>33.32</v>
      </c>
    </row>
    <row r="2185" spans="2:14" x14ac:dyDescent="0.2">
      <c r="N2185" s="92"/>
    </row>
    <row r="2186" spans="2:14" x14ac:dyDescent="0.2">
      <c r="C2186" t="s">
        <v>599</v>
      </c>
      <c r="D2186">
        <v>32.950000000000003</v>
      </c>
      <c r="E2186">
        <v>36.770000000000003</v>
      </c>
      <c r="F2186">
        <v>38.770000000000003</v>
      </c>
      <c r="G2186">
        <v>40.25</v>
      </c>
      <c r="H2186">
        <v>39.799999999999997</v>
      </c>
      <c r="I2186">
        <v>39.68</v>
      </c>
      <c r="J2186">
        <v>39.909999999999997</v>
      </c>
      <c r="K2186">
        <v>39.76</v>
      </c>
      <c r="L2186">
        <v>40.03</v>
      </c>
      <c r="M2186">
        <v>40.67</v>
      </c>
      <c r="N2186" s="92">
        <v>35.33</v>
      </c>
    </row>
    <row r="2187" spans="2:14" x14ac:dyDescent="0.2">
      <c r="N2187" s="92"/>
    </row>
    <row r="2188" spans="2:14" x14ac:dyDescent="0.2">
      <c r="N2188" s="92"/>
    </row>
    <row r="2189" spans="2:14" s="2" customFormat="1" ht="15" x14ac:dyDescent="0.25">
      <c r="B2189" s="2" t="s">
        <v>653</v>
      </c>
      <c r="C2189" s="9"/>
      <c r="N2189" s="96"/>
    </row>
    <row r="2190" spans="2:14" s="2" customFormat="1" ht="15" x14ac:dyDescent="0.25">
      <c r="B2190" s="2" t="s">
        <v>614</v>
      </c>
      <c r="N2190" s="96"/>
    </row>
    <row r="2191" spans="2:14" s="2" customFormat="1" ht="15" x14ac:dyDescent="0.25">
      <c r="B2191" s="13" t="s">
        <v>615</v>
      </c>
      <c r="D2191" s="2">
        <v>2000</v>
      </c>
      <c r="E2191" s="2">
        <v>2010</v>
      </c>
      <c r="F2191" s="2">
        <v>2015</v>
      </c>
      <c r="G2191" s="2">
        <v>2020</v>
      </c>
      <c r="H2191" s="2">
        <v>2025</v>
      </c>
      <c r="I2191" s="2">
        <v>2030</v>
      </c>
      <c r="J2191" s="2">
        <v>2035</v>
      </c>
      <c r="K2191" s="2">
        <v>2040</v>
      </c>
      <c r="L2191" s="2">
        <v>2045</v>
      </c>
      <c r="M2191" s="2">
        <v>2050</v>
      </c>
      <c r="N2191" s="96">
        <v>2005</v>
      </c>
    </row>
    <row r="2192" spans="2:14" x14ac:dyDescent="0.2">
      <c r="C2192" t="s">
        <v>568</v>
      </c>
      <c r="D2192">
        <v>20.67</v>
      </c>
      <c r="E2192">
        <v>21.26</v>
      </c>
      <c r="F2192">
        <v>21.77</v>
      </c>
      <c r="G2192">
        <v>22.68</v>
      </c>
      <c r="H2192">
        <v>22.61</v>
      </c>
      <c r="I2192">
        <v>22.52</v>
      </c>
      <c r="J2192">
        <v>22.34</v>
      </c>
      <c r="K2192">
        <v>22.24</v>
      </c>
      <c r="L2192">
        <v>21.92</v>
      </c>
      <c r="M2192">
        <v>21.71</v>
      </c>
      <c r="N2192" s="92">
        <v>18.78</v>
      </c>
    </row>
    <row r="2193" spans="3:14" x14ac:dyDescent="0.2">
      <c r="C2193" t="s">
        <v>602</v>
      </c>
      <c r="D2193">
        <v>20.67</v>
      </c>
      <c r="E2193">
        <v>21.26</v>
      </c>
      <c r="F2193">
        <v>21</v>
      </c>
      <c r="G2193">
        <v>20.78</v>
      </c>
      <c r="H2193">
        <v>20.58</v>
      </c>
      <c r="I2193">
        <v>20.37</v>
      </c>
      <c r="J2193">
        <v>20.07</v>
      </c>
      <c r="K2193">
        <v>19.82</v>
      </c>
      <c r="L2193">
        <v>19.32</v>
      </c>
      <c r="M2193">
        <v>18.95</v>
      </c>
      <c r="N2193" s="92">
        <v>18.78</v>
      </c>
    </row>
    <row r="2194" spans="3:14" x14ac:dyDescent="0.2">
      <c r="C2194" t="s">
        <v>603</v>
      </c>
      <c r="D2194" t="s">
        <v>572</v>
      </c>
      <c r="E2194" t="s">
        <v>3</v>
      </c>
      <c r="F2194">
        <v>0.76</v>
      </c>
      <c r="G2194">
        <v>1.89</v>
      </c>
      <c r="H2194">
        <v>2.0299999999999998</v>
      </c>
      <c r="I2194">
        <v>2.15</v>
      </c>
      <c r="J2194">
        <v>2.27</v>
      </c>
      <c r="K2194">
        <v>2.42</v>
      </c>
      <c r="L2194">
        <v>2.61</v>
      </c>
      <c r="M2194">
        <v>2.77</v>
      </c>
      <c r="N2194" s="92" t="s">
        <v>3</v>
      </c>
    </row>
    <row r="2195" spans="3:14" x14ac:dyDescent="0.2">
      <c r="C2195" t="s">
        <v>571</v>
      </c>
      <c r="D2195">
        <v>11.01</v>
      </c>
      <c r="E2195">
        <v>10.96</v>
      </c>
      <c r="F2195">
        <v>11.08</v>
      </c>
      <c r="G2195">
        <v>9.77</v>
      </c>
      <c r="H2195">
        <v>7.21</v>
      </c>
      <c r="I2195">
        <v>3.97</v>
      </c>
      <c r="J2195">
        <v>0</v>
      </c>
      <c r="K2195">
        <v>0</v>
      </c>
      <c r="L2195">
        <v>0</v>
      </c>
      <c r="M2195">
        <v>0</v>
      </c>
      <c r="N2195" s="92">
        <v>7.97</v>
      </c>
    </row>
    <row r="2196" spans="3:14" x14ac:dyDescent="0.2">
      <c r="C2196" t="s">
        <v>604</v>
      </c>
      <c r="D2196">
        <v>0.67</v>
      </c>
      <c r="E2196">
        <v>0.88</v>
      </c>
      <c r="F2196">
        <v>1.04</v>
      </c>
      <c r="G2196">
        <v>1.1599999999999999</v>
      </c>
      <c r="H2196">
        <v>1.19</v>
      </c>
      <c r="I2196">
        <v>1.23</v>
      </c>
      <c r="J2196">
        <v>6</v>
      </c>
      <c r="K2196">
        <v>5.41</v>
      </c>
      <c r="L2196">
        <v>5.37</v>
      </c>
      <c r="M2196">
        <v>5.01</v>
      </c>
      <c r="N2196" s="92">
        <v>0.82</v>
      </c>
    </row>
    <row r="2197" spans="3:14" x14ac:dyDescent="0.2">
      <c r="C2197" t="s">
        <v>605</v>
      </c>
      <c r="D2197">
        <v>0.67</v>
      </c>
      <c r="E2197">
        <v>0.88</v>
      </c>
      <c r="F2197">
        <v>0.71</v>
      </c>
      <c r="G2197">
        <v>0.62</v>
      </c>
      <c r="H2197">
        <v>0.38</v>
      </c>
      <c r="I2197">
        <v>0.24</v>
      </c>
      <c r="J2197">
        <v>0.14000000000000001</v>
      </c>
      <c r="K2197" t="s">
        <v>3</v>
      </c>
      <c r="L2197" t="s">
        <v>3</v>
      </c>
      <c r="M2197" t="s">
        <v>3</v>
      </c>
      <c r="N2197" s="92">
        <v>0.82</v>
      </c>
    </row>
    <row r="2198" spans="3:14" x14ac:dyDescent="0.2">
      <c r="C2198" t="s">
        <v>606</v>
      </c>
      <c r="D2198" t="s">
        <v>3</v>
      </c>
      <c r="E2198" t="s">
        <v>3</v>
      </c>
      <c r="F2198" t="s">
        <v>3</v>
      </c>
      <c r="G2198" t="s">
        <v>3</v>
      </c>
      <c r="H2198" t="s">
        <v>3</v>
      </c>
      <c r="I2198" t="s">
        <v>3</v>
      </c>
      <c r="J2198">
        <v>4.78</v>
      </c>
      <c r="K2198">
        <v>4.25</v>
      </c>
      <c r="L2198">
        <v>4.21</v>
      </c>
      <c r="M2198">
        <v>3.86</v>
      </c>
      <c r="N2198" s="92" t="s">
        <v>3</v>
      </c>
    </row>
    <row r="2199" spans="3:14" x14ac:dyDescent="0.2">
      <c r="C2199" t="s">
        <v>607</v>
      </c>
      <c r="D2199" t="s">
        <v>3</v>
      </c>
      <c r="E2199" t="s">
        <v>3</v>
      </c>
      <c r="F2199">
        <v>0.34</v>
      </c>
      <c r="G2199">
        <v>0.54</v>
      </c>
      <c r="H2199">
        <v>0.8</v>
      </c>
      <c r="I2199">
        <v>0.99</v>
      </c>
      <c r="J2199">
        <v>1.08</v>
      </c>
      <c r="K2199">
        <v>1.1599999999999999</v>
      </c>
      <c r="L2199">
        <v>1.1599999999999999</v>
      </c>
      <c r="M2199">
        <v>1.1599999999999999</v>
      </c>
      <c r="N2199" s="92" t="s">
        <v>3</v>
      </c>
    </row>
    <row r="2200" spans="3:14" x14ac:dyDescent="0.2">
      <c r="C2200" t="s">
        <v>608</v>
      </c>
      <c r="D2200">
        <v>0.36</v>
      </c>
      <c r="E2200">
        <v>0.62</v>
      </c>
      <c r="F2200">
        <v>0.82</v>
      </c>
      <c r="G2200">
        <v>1.08</v>
      </c>
      <c r="H2200">
        <v>1.46</v>
      </c>
      <c r="I2200">
        <v>2.0499999999999998</v>
      </c>
      <c r="J2200">
        <v>3.32</v>
      </c>
      <c r="K2200">
        <v>4.13</v>
      </c>
      <c r="L2200">
        <v>5.16</v>
      </c>
      <c r="M2200">
        <v>6.09</v>
      </c>
      <c r="N2200" s="92">
        <v>0.45</v>
      </c>
    </row>
    <row r="2201" spans="3:14" x14ac:dyDescent="0.2">
      <c r="C2201" t="s">
        <v>609</v>
      </c>
      <c r="D2201">
        <v>0.36</v>
      </c>
      <c r="E2201">
        <v>0.62</v>
      </c>
      <c r="F2201">
        <v>0.47</v>
      </c>
      <c r="G2201">
        <v>0.42</v>
      </c>
      <c r="H2201">
        <v>0.32</v>
      </c>
      <c r="I2201">
        <v>0.19</v>
      </c>
      <c r="J2201">
        <v>0.04</v>
      </c>
      <c r="K2201">
        <v>0</v>
      </c>
      <c r="L2201" t="s">
        <v>3</v>
      </c>
      <c r="M2201" t="s">
        <v>3</v>
      </c>
      <c r="N2201" s="92">
        <v>0.45</v>
      </c>
    </row>
    <row r="2202" spans="3:14" x14ac:dyDescent="0.2">
      <c r="C2202" t="s">
        <v>610</v>
      </c>
      <c r="D2202" t="s">
        <v>3</v>
      </c>
      <c r="E2202" t="s">
        <v>3</v>
      </c>
      <c r="F2202">
        <v>0.36</v>
      </c>
      <c r="G2202">
        <v>0.66</v>
      </c>
      <c r="H2202">
        <v>1.1399999999999999</v>
      </c>
      <c r="I2202">
        <v>1.86</v>
      </c>
      <c r="J2202">
        <v>3.27</v>
      </c>
      <c r="K2202">
        <v>4.12</v>
      </c>
      <c r="L2202">
        <v>5.16</v>
      </c>
      <c r="M2202">
        <v>6.09</v>
      </c>
      <c r="N2202" s="92" t="s">
        <v>3</v>
      </c>
    </row>
    <row r="2203" spans="3:14" x14ac:dyDescent="0.2">
      <c r="C2203" t="s">
        <v>580</v>
      </c>
      <c r="D2203">
        <v>0.01</v>
      </c>
      <c r="E2203">
        <v>0.06</v>
      </c>
      <c r="F2203">
        <v>0.15</v>
      </c>
      <c r="G2203">
        <v>0.25</v>
      </c>
      <c r="H2203">
        <v>0.4</v>
      </c>
      <c r="I2203">
        <v>0.7</v>
      </c>
      <c r="J2203">
        <v>1.84</v>
      </c>
      <c r="K2203">
        <v>2.54</v>
      </c>
      <c r="L2203">
        <v>3.45</v>
      </c>
      <c r="M2203">
        <v>4.32</v>
      </c>
      <c r="N2203" s="92">
        <v>0.01</v>
      </c>
    </row>
    <row r="2204" spans="3:14" x14ac:dyDescent="0.2">
      <c r="C2204" t="s">
        <v>581</v>
      </c>
      <c r="D2204">
        <v>0</v>
      </c>
      <c r="E2204">
        <v>0.01</v>
      </c>
      <c r="F2204">
        <v>0.04</v>
      </c>
      <c r="G2204">
        <v>0.06</v>
      </c>
      <c r="H2204">
        <v>0.1</v>
      </c>
      <c r="I2204">
        <v>0.23</v>
      </c>
      <c r="J2204">
        <v>0.31</v>
      </c>
      <c r="K2204">
        <v>0.41</v>
      </c>
      <c r="L2204">
        <v>0.5</v>
      </c>
      <c r="M2204">
        <v>0.56000000000000005</v>
      </c>
      <c r="N2204" s="92">
        <v>0</v>
      </c>
    </row>
    <row r="2205" spans="3:14" x14ac:dyDescent="0.2">
      <c r="C2205" t="s">
        <v>582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 s="92">
        <v>0</v>
      </c>
    </row>
    <row r="2206" spans="3:14" x14ac:dyDescent="0.2">
      <c r="C2206" t="s">
        <v>47</v>
      </c>
      <c r="D2206" t="s">
        <v>3</v>
      </c>
      <c r="E2206" t="s">
        <v>3</v>
      </c>
      <c r="F2206">
        <v>0.02</v>
      </c>
      <c r="G2206">
        <v>0.05</v>
      </c>
      <c r="H2206">
        <v>0.1</v>
      </c>
      <c r="I2206">
        <v>0.16</v>
      </c>
      <c r="J2206">
        <v>0.2</v>
      </c>
      <c r="K2206">
        <v>0.2</v>
      </c>
      <c r="L2206">
        <v>0.21</v>
      </c>
      <c r="M2206">
        <v>0.21</v>
      </c>
      <c r="N2206" s="92" t="s">
        <v>3</v>
      </c>
    </row>
    <row r="2207" spans="3:14" x14ac:dyDescent="0.2">
      <c r="C2207" t="s">
        <v>583</v>
      </c>
      <c r="D2207">
        <v>0.01</v>
      </c>
      <c r="E2207">
        <v>0.04</v>
      </c>
      <c r="F2207">
        <v>0.09</v>
      </c>
      <c r="G2207">
        <v>0.13</v>
      </c>
      <c r="H2207">
        <v>0.18</v>
      </c>
      <c r="I2207">
        <v>0.23</v>
      </c>
      <c r="J2207">
        <v>0.22</v>
      </c>
      <c r="K2207">
        <v>0.23</v>
      </c>
      <c r="L2207">
        <v>0.23</v>
      </c>
      <c r="M2207">
        <v>0.23</v>
      </c>
      <c r="N2207" s="92">
        <v>0.01</v>
      </c>
    </row>
    <row r="2208" spans="3:14" x14ac:dyDescent="0.2">
      <c r="C2208" t="s">
        <v>584</v>
      </c>
      <c r="D2208">
        <v>0</v>
      </c>
      <c r="E2208">
        <v>0.03</v>
      </c>
      <c r="F2208">
        <v>0.06</v>
      </c>
      <c r="G2208">
        <v>0.1</v>
      </c>
      <c r="H2208">
        <v>0.14000000000000001</v>
      </c>
      <c r="I2208">
        <v>0.18</v>
      </c>
      <c r="J2208">
        <v>0.19</v>
      </c>
      <c r="K2208">
        <v>0.19</v>
      </c>
      <c r="L2208">
        <v>0.2</v>
      </c>
      <c r="M2208">
        <v>0.2</v>
      </c>
      <c r="N2208" s="92">
        <v>0.01</v>
      </c>
    </row>
    <row r="2209" spans="3:14" x14ac:dyDescent="0.2">
      <c r="C2209" t="s">
        <v>585</v>
      </c>
      <c r="D2209">
        <v>0.04</v>
      </c>
      <c r="E2209">
        <v>0.05</v>
      </c>
      <c r="F2209">
        <v>0.04</v>
      </c>
      <c r="G2209">
        <v>7.0000000000000007E-2</v>
      </c>
      <c r="H2209">
        <v>0.09</v>
      </c>
      <c r="I2209">
        <v>0.11</v>
      </c>
      <c r="J2209">
        <v>0.12</v>
      </c>
      <c r="K2209">
        <v>0.12</v>
      </c>
      <c r="L2209">
        <v>0.12</v>
      </c>
      <c r="M2209">
        <v>0.12</v>
      </c>
      <c r="N2209" s="92">
        <v>0.04</v>
      </c>
    </row>
    <row r="2210" spans="3:14" x14ac:dyDescent="0.2">
      <c r="C2210" t="s">
        <v>586</v>
      </c>
      <c r="D2210">
        <v>0.28999999999999998</v>
      </c>
      <c r="E2210">
        <v>0.41</v>
      </c>
      <c r="F2210">
        <v>0.42</v>
      </c>
      <c r="G2210">
        <v>0.42</v>
      </c>
      <c r="H2210">
        <v>0.44</v>
      </c>
      <c r="I2210">
        <v>0.44</v>
      </c>
      <c r="J2210">
        <v>0.44</v>
      </c>
      <c r="K2210">
        <v>0.44</v>
      </c>
      <c r="L2210">
        <v>0.44</v>
      </c>
      <c r="M2210">
        <v>0.44</v>
      </c>
      <c r="N2210" s="92">
        <v>0.36</v>
      </c>
    </row>
    <row r="2211" spans="3:14" x14ac:dyDescent="0.2">
      <c r="C2211" t="s">
        <v>587</v>
      </c>
      <c r="D2211">
        <v>0.02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 s="92">
        <v>0.01</v>
      </c>
    </row>
    <row r="2212" spans="3:14" x14ac:dyDescent="0.2">
      <c r="C2212" t="s">
        <v>588</v>
      </c>
      <c r="D2212" s="20">
        <f t="shared" ref="D2212:I2212" si="894">D2192+D2195+D2196+D2200</f>
        <v>32.71</v>
      </c>
      <c r="E2212" s="20">
        <f t="shared" si="894"/>
        <v>33.72</v>
      </c>
      <c r="F2212" s="20">
        <f t="shared" si="894"/>
        <v>34.71</v>
      </c>
      <c r="G2212" s="20">
        <f t="shared" si="894"/>
        <v>34.69</v>
      </c>
      <c r="H2212" s="20">
        <f t="shared" si="894"/>
        <v>32.47</v>
      </c>
      <c r="I2212" s="20">
        <f t="shared" si="894"/>
        <v>29.77</v>
      </c>
      <c r="J2212" s="20">
        <f>J2192+J2196+J2200</f>
        <v>31.66</v>
      </c>
      <c r="K2212" s="20">
        <f>K2192+K2196+K2200</f>
        <v>31.779999999999998</v>
      </c>
      <c r="L2212" s="20">
        <f>L2192+L2196+L2200</f>
        <v>32.450000000000003</v>
      </c>
      <c r="M2212" s="20">
        <f>M2192+M2196+M2200</f>
        <v>32.81</v>
      </c>
      <c r="N2212" s="94">
        <f>N2192+N2195+N2196+N2200</f>
        <v>28.02</v>
      </c>
    </row>
    <row r="2213" spans="3:14" x14ac:dyDescent="0.2">
      <c r="C2213" t="s">
        <v>589</v>
      </c>
      <c r="D2213">
        <v>-1.33</v>
      </c>
      <c r="E2213">
        <v>-1.53</v>
      </c>
      <c r="F2213">
        <v>-2.21</v>
      </c>
      <c r="G2213">
        <v>-3.42</v>
      </c>
      <c r="H2213">
        <v>-3.42</v>
      </c>
      <c r="I2213">
        <v>-3.42</v>
      </c>
      <c r="J2213">
        <v>-3.42</v>
      </c>
      <c r="K2213">
        <v>-3.42</v>
      </c>
      <c r="L2213">
        <v>-3.42</v>
      </c>
      <c r="M2213">
        <v>-3.42</v>
      </c>
      <c r="N2213" s="92">
        <v>-1.33</v>
      </c>
    </row>
    <row r="2214" spans="3:14" x14ac:dyDescent="0.2">
      <c r="C2214" s="14" t="s">
        <v>590</v>
      </c>
      <c r="D2214" s="32">
        <f>D2212+D2213</f>
        <v>31.380000000000003</v>
      </c>
      <c r="E2214" s="32">
        <f t="shared" ref="E2214:M2214" si="895">E2212+E2213</f>
        <v>32.19</v>
      </c>
      <c r="F2214" s="32">
        <f t="shared" si="895"/>
        <v>32.5</v>
      </c>
      <c r="G2214" s="32">
        <f t="shared" si="895"/>
        <v>31.269999999999996</v>
      </c>
      <c r="H2214" s="32">
        <f t="shared" si="895"/>
        <v>29.049999999999997</v>
      </c>
      <c r="I2214" s="32">
        <f t="shared" si="895"/>
        <v>26.35</v>
      </c>
      <c r="J2214" s="32">
        <f t="shared" si="895"/>
        <v>28.240000000000002</v>
      </c>
      <c r="K2214" s="32">
        <f t="shared" si="895"/>
        <v>28.36</v>
      </c>
      <c r="L2214" s="32">
        <f t="shared" si="895"/>
        <v>29.03</v>
      </c>
      <c r="M2214" s="32">
        <f t="shared" si="895"/>
        <v>29.39</v>
      </c>
      <c r="N2214" s="95">
        <f>N2212+N2213</f>
        <v>26.689999999999998</v>
      </c>
    </row>
    <row r="2215" spans="3:14" x14ac:dyDescent="0.2">
      <c r="C2215" t="s">
        <v>591</v>
      </c>
      <c r="D2215">
        <v>8.56</v>
      </c>
      <c r="E2215">
        <v>7.88</v>
      </c>
      <c r="F2215">
        <v>7.88</v>
      </c>
      <c r="G2215">
        <v>4.5999999999999996</v>
      </c>
      <c r="H2215">
        <v>3.85</v>
      </c>
      <c r="I2215">
        <v>3.85</v>
      </c>
      <c r="J2215">
        <v>1.19</v>
      </c>
      <c r="K2215">
        <v>0.6</v>
      </c>
      <c r="N2215" s="92">
        <v>8.2200000000000006</v>
      </c>
    </row>
    <row r="2216" spans="3:14" x14ac:dyDescent="0.2">
      <c r="C2216" t="s">
        <v>592</v>
      </c>
      <c r="D2216">
        <v>8.56</v>
      </c>
      <c r="E2216">
        <v>7.88</v>
      </c>
      <c r="F2216">
        <v>7.88</v>
      </c>
      <c r="G2216">
        <v>4.5999999999999996</v>
      </c>
      <c r="H2216">
        <v>3.85</v>
      </c>
      <c r="I2216">
        <v>3.85</v>
      </c>
      <c r="J2216">
        <v>1.19</v>
      </c>
      <c r="K2216">
        <v>0.6</v>
      </c>
      <c r="L2216" t="s">
        <v>3</v>
      </c>
      <c r="M2216" t="s">
        <v>3</v>
      </c>
      <c r="N2216" s="92">
        <v>8.2200000000000006</v>
      </c>
    </row>
    <row r="2217" spans="3:14" x14ac:dyDescent="0.2">
      <c r="C2217" t="s">
        <v>593</v>
      </c>
      <c r="D2217" t="s">
        <v>3</v>
      </c>
      <c r="E2217" t="s">
        <v>3</v>
      </c>
      <c r="F2217" t="s">
        <v>3</v>
      </c>
      <c r="G2217" t="s">
        <v>3</v>
      </c>
      <c r="H2217" t="s">
        <v>3</v>
      </c>
      <c r="I2217" t="s">
        <v>3</v>
      </c>
      <c r="J2217" t="s">
        <v>3</v>
      </c>
      <c r="K2217" t="s">
        <v>3</v>
      </c>
      <c r="L2217" t="s">
        <v>3</v>
      </c>
      <c r="M2217" t="s">
        <v>3</v>
      </c>
      <c r="N2217" s="92" t="s">
        <v>3</v>
      </c>
    </row>
    <row r="2218" spans="3:14" x14ac:dyDescent="0.2">
      <c r="C2218" t="s">
        <v>594</v>
      </c>
      <c r="D2218">
        <v>14.39</v>
      </c>
      <c r="E2218">
        <v>11.09</v>
      </c>
      <c r="F2218">
        <v>10.82</v>
      </c>
      <c r="G2218">
        <v>6.86</v>
      </c>
      <c r="H2218">
        <v>4.4000000000000004</v>
      </c>
      <c r="I2218">
        <v>1.95</v>
      </c>
      <c r="J2218">
        <v>1.1399999999999999</v>
      </c>
      <c r="K2218">
        <v>0.3</v>
      </c>
      <c r="N2218" s="92">
        <v>6.9</v>
      </c>
    </row>
    <row r="2219" spans="3:14" x14ac:dyDescent="0.2">
      <c r="C2219" t="s">
        <v>612</v>
      </c>
      <c r="D2219">
        <v>1.35</v>
      </c>
      <c r="E2219">
        <v>1.1399999999999999</v>
      </c>
      <c r="F2219">
        <v>1.1399999999999999</v>
      </c>
      <c r="G2219">
        <v>1.1399999999999999</v>
      </c>
      <c r="H2219">
        <v>1.1399999999999999</v>
      </c>
      <c r="I2219">
        <v>1.1399999999999999</v>
      </c>
      <c r="J2219">
        <v>1.1399999999999999</v>
      </c>
      <c r="K2219">
        <v>0.3</v>
      </c>
      <c r="L2219" t="s">
        <v>3</v>
      </c>
      <c r="M2219" t="s">
        <v>3</v>
      </c>
      <c r="N2219" s="92">
        <v>1.1399999999999999</v>
      </c>
    </row>
    <row r="2220" spans="3:14" x14ac:dyDescent="0.2">
      <c r="C2220" t="s">
        <v>596</v>
      </c>
      <c r="D2220">
        <v>13.04</v>
      </c>
      <c r="E2220">
        <v>9.9600000000000009</v>
      </c>
      <c r="F2220">
        <v>9.69</v>
      </c>
      <c r="G2220">
        <v>5.73</v>
      </c>
      <c r="H2220">
        <v>3.27</v>
      </c>
      <c r="I2220">
        <v>0.81</v>
      </c>
      <c r="J2220">
        <v>0</v>
      </c>
      <c r="K2220">
        <v>0</v>
      </c>
      <c r="L2220" t="s">
        <v>3</v>
      </c>
      <c r="M2220" t="s">
        <v>3</v>
      </c>
      <c r="N2220" s="92">
        <v>5.76</v>
      </c>
    </row>
    <row r="2221" spans="3:14" x14ac:dyDescent="0.2">
      <c r="C2221" s="14" t="s">
        <v>597</v>
      </c>
      <c r="D2221" s="32">
        <f>D2215-D2218</f>
        <v>-5.83</v>
      </c>
      <c r="E2221" s="32">
        <f t="shared" ref="E2221:M2221" si="896">E2215-E2218</f>
        <v>-3.21</v>
      </c>
      <c r="F2221" s="32">
        <f t="shared" si="896"/>
        <v>-2.9400000000000004</v>
      </c>
      <c r="G2221" s="32">
        <f t="shared" si="896"/>
        <v>-2.2600000000000007</v>
      </c>
      <c r="H2221" s="32">
        <f t="shared" si="896"/>
        <v>-0.55000000000000027</v>
      </c>
      <c r="I2221" s="32">
        <f t="shared" si="896"/>
        <v>1.9000000000000001</v>
      </c>
      <c r="J2221" s="32">
        <f t="shared" si="896"/>
        <v>5.0000000000000044E-2</v>
      </c>
      <c r="K2221" s="32">
        <f t="shared" si="896"/>
        <v>0.3</v>
      </c>
      <c r="L2221" s="32">
        <f t="shared" si="896"/>
        <v>0</v>
      </c>
      <c r="M2221" s="32">
        <f t="shared" si="896"/>
        <v>0</v>
      </c>
      <c r="N2221" s="95">
        <f>N2215-N2218</f>
        <v>1.3200000000000003</v>
      </c>
    </row>
    <row r="2222" spans="3:14" x14ac:dyDescent="0.2">
      <c r="C2222" t="s">
        <v>598</v>
      </c>
      <c r="D2222" s="20">
        <f>D2214+D2221</f>
        <v>25.550000000000004</v>
      </c>
      <c r="E2222" s="20">
        <f t="shared" ref="E2222:M2222" si="897">E2214+E2221</f>
        <v>28.979999999999997</v>
      </c>
      <c r="F2222" s="20">
        <f t="shared" si="897"/>
        <v>29.56</v>
      </c>
      <c r="G2222" s="20">
        <f t="shared" si="897"/>
        <v>29.009999999999994</v>
      </c>
      <c r="H2222" s="20">
        <f t="shared" si="897"/>
        <v>28.499999999999996</v>
      </c>
      <c r="I2222" s="20">
        <f t="shared" si="897"/>
        <v>28.25</v>
      </c>
      <c r="J2222" s="20">
        <f t="shared" si="897"/>
        <v>28.290000000000003</v>
      </c>
      <c r="K2222" s="20">
        <f t="shared" si="897"/>
        <v>28.66</v>
      </c>
      <c r="L2222" s="20">
        <f t="shared" si="897"/>
        <v>29.03</v>
      </c>
      <c r="M2222" s="20">
        <f t="shared" si="897"/>
        <v>29.39</v>
      </c>
      <c r="N2222" s="94">
        <f>N2214+N2221</f>
        <v>28.009999999999998</v>
      </c>
    </row>
    <row r="2223" spans="3:14" x14ac:dyDescent="0.2">
      <c r="N2223" s="92"/>
    </row>
    <row r="2224" spans="3:14" x14ac:dyDescent="0.2">
      <c r="C2224" t="s">
        <v>599</v>
      </c>
      <c r="D2224">
        <v>28.23</v>
      </c>
      <c r="E2224">
        <v>31.64</v>
      </c>
      <c r="F2224">
        <v>32.909999999999997</v>
      </c>
      <c r="G2224">
        <v>33.56</v>
      </c>
      <c r="H2224">
        <v>33.04</v>
      </c>
      <c r="I2224">
        <v>32.799999999999997</v>
      </c>
      <c r="J2224">
        <v>32.86</v>
      </c>
      <c r="K2224">
        <v>32.369999999999997</v>
      </c>
      <c r="L2224">
        <v>32.450000000000003</v>
      </c>
      <c r="M2224">
        <v>32.82</v>
      </c>
      <c r="N2224" s="92">
        <v>30.48</v>
      </c>
    </row>
    <row r="2225" spans="2:14" x14ac:dyDescent="0.2">
      <c r="N2225" s="92"/>
    </row>
    <row r="2226" spans="2:14" x14ac:dyDescent="0.2">
      <c r="N2226" s="92"/>
    </row>
    <row r="2227" spans="2:14" s="2" customFormat="1" ht="15" x14ac:dyDescent="0.25">
      <c r="B2227" s="2" t="s">
        <v>659</v>
      </c>
      <c r="C2227" s="9"/>
      <c r="N2227" s="96"/>
    </row>
    <row r="2228" spans="2:14" s="2" customFormat="1" ht="15" x14ac:dyDescent="0.25">
      <c r="B2228" s="2" t="s">
        <v>631</v>
      </c>
      <c r="N2228" s="96"/>
    </row>
    <row r="2229" spans="2:14" s="2" customFormat="1" ht="15" x14ac:dyDescent="0.25">
      <c r="B2229" s="13" t="s">
        <v>567</v>
      </c>
      <c r="D2229" s="2">
        <v>2000</v>
      </c>
      <c r="E2229" s="2">
        <v>2010</v>
      </c>
      <c r="F2229" s="2">
        <v>2015</v>
      </c>
      <c r="G2229" s="2">
        <v>2020</v>
      </c>
      <c r="H2229" s="2">
        <v>2025</v>
      </c>
      <c r="I2229" s="2">
        <v>2030</v>
      </c>
      <c r="J2229" s="2">
        <v>2035</v>
      </c>
      <c r="K2229" s="2">
        <v>2040</v>
      </c>
      <c r="L2229" s="2">
        <v>2045</v>
      </c>
      <c r="M2229" s="2">
        <v>2050</v>
      </c>
      <c r="N2229" s="96">
        <v>2005</v>
      </c>
    </row>
    <row r="2230" spans="2:14" x14ac:dyDescent="0.2">
      <c r="C2230" t="s">
        <v>568</v>
      </c>
      <c r="D2230">
        <v>38.380000000000003</v>
      </c>
      <c r="E2230">
        <v>35.42</v>
      </c>
      <c r="F2230">
        <v>39</v>
      </c>
      <c r="G2230">
        <v>41.96</v>
      </c>
      <c r="H2230">
        <v>42.35</v>
      </c>
      <c r="I2230">
        <v>42.67</v>
      </c>
      <c r="J2230">
        <v>43.02</v>
      </c>
      <c r="K2230">
        <v>43.44</v>
      </c>
      <c r="L2230">
        <v>43.82</v>
      </c>
      <c r="M2230">
        <v>44.15</v>
      </c>
      <c r="N2230" s="92">
        <v>34.340000000000003</v>
      </c>
    </row>
    <row r="2231" spans="2:14" x14ac:dyDescent="0.2">
      <c r="C2231" t="s">
        <v>633</v>
      </c>
      <c r="D2231">
        <v>38.380000000000003</v>
      </c>
      <c r="E2231">
        <v>35.42</v>
      </c>
      <c r="F2231">
        <v>36.950000000000003</v>
      </c>
      <c r="G2231">
        <v>36.869999999999997</v>
      </c>
      <c r="H2231">
        <v>36.83</v>
      </c>
      <c r="I2231">
        <v>36.75</v>
      </c>
      <c r="J2231">
        <v>36.54</v>
      </c>
      <c r="K2231">
        <v>36.409999999999997</v>
      </c>
      <c r="L2231">
        <v>35.85</v>
      </c>
      <c r="M2231">
        <v>35.57</v>
      </c>
      <c r="N2231" s="92">
        <v>34.340000000000003</v>
      </c>
    </row>
    <row r="2232" spans="2:14" x14ac:dyDescent="0.2">
      <c r="C2232" t="s">
        <v>603</v>
      </c>
      <c r="D2232" t="s">
        <v>3</v>
      </c>
      <c r="E2232" t="s">
        <v>3</v>
      </c>
      <c r="F2232">
        <v>2.0499999999999998</v>
      </c>
      <c r="G2232">
        <v>5.09</v>
      </c>
      <c r="H2232">
        <v>5.52</v>
      </c>
      <c r="I2232">
        <v>5.91</v>
      </c>
      <c r="J2232">
        <v>6.48</v>
      </c>
      <c r="K2232">
        <v>7.02</v>
      </c>
      <c r="L2232">
        <v>7.96</v>
      </c>
      <c r="M2232">
        <v>8.57</v>
      </c>
      <c r="N2232" s="92" t="s">
        <v>3</v>
      </c>
    </row>
    <row r="2233" spans="2:14" x14ac:dyDescent="0.2">
      <c r="C2233" t="s">
        <v>571</v>
      </c>
      <c r="D2233">
        <v>24.73</v>
      </c>
      <c r="E2233">
        <v>25.13</v>
      </c>
      <c r="F2233">
        <v>24.58</v>
      </c>
      <c r="G2233">
        <v>21.68</v>
      </c>
      <c r="H2233">
        <v>15.98</v>
      </c>
      <c r="I2233">
        <v>8.81</v>
      </c>
      <c r="J2233">
        <v>0</v>
      </c>
      <c r="K2233">
        <v>0</v>
      </c>
      <c r="L2233">
        <v>0</v>
      </c>
      <c r="M2233">
        <v>0</v>
      </c>
      <c r="N2233" s="92">
        <v>21.9</v>
      </c>
    </row>
    <row r="2234" spans="2:14" x14ac:dyDescent="0.2">
      <c r="C2234" t="s">
        <v>604</v>
      </c>
      <c r="D2234">
        <v>1.79</v>
      </c>
      <c r="E2234">
        <v>2.1800000000000002</v>
      </c>
      <c r="F2234">
        <v>2.7</v>
      </c>
      <c r="G2234">
        <v>3.13</v>
      </c>
      <c r="H2234">
        <v>5.39</v>
      </c>
      <c r="I2234">
        <v>7.79</v>
      </c>
      <c r="J2234">
        <v>15.2</v>
      </c>
      <c r="K2234">
        <v>12.87</v>
      </c>
      <c r="L2234">
        <v>11.81</v>
      </c>
      <c r="M2234">
        <v>10.65</v>
      </c>
      <c r="N2234" s="92">
        <v>2.0699999999999998</v>
      </c>
    </row>
    <row r="2235" spans="2:14" x14ac:dyDescent="0.2">
      <c r="C2235" t="s">
        <v>605</v>
      </c>
      <c r="D2235">
        <v>1.79</v>
      </c>
      <c r="E2235">
        <v>2.1800000000000002</v>
      </c>
      <c r="F2235">
        <v>1.76</v>
      </c>
      <c r="G2235">
        <v>1.48</v>
      </c>
      <c r="H2235">
        <v>0.92</v>
      </c>
      <c r="I2235">
        <v>0.57999999999999996</v>
      </c>
      <c r="J2235">
        <v>0.32</v>
      </c>
      <c r="K2235" t="s">
        <v>572</v>
      </c>
      <c r="L2235" t="s">
        <v>3</v>
      </c>
      <c r="M2235" t="s">
        <v>3</v>
      </c>
      <c r="N2235" s="92">
        <v>2.0699999999999998</v>
      </c>
    </row>
    <row r="2236" spans="2:14" x14ac:dyDescent="0.2">
      <c r="C2236" t="s">
        <v>606</v>
      </c>
      <c r="D2236" t="s">
        <v>572</v>
      </c>
      <c r="E2236" t="s">
        <v>3</v>
      </c>
      <c r="F2236" t="s">
        <v>3</v>
      </c>
      <c r="G2236" t="s">
        <v>3</v>
      </c>
      <c r="H2236">
        <v>2.0099999999999998</v>
      </c>
      <c r="I2236">
        <v>4.17</v>
      </c>
      <c r="J2236">
        <v>11.63</v>
      </c>
      <c r="K2236">
        <v>9.43</v>
      </c>
      <c r="L2236">
        <v>8.36</v>
      </c>
      <c r="M2236">
        <v>7.2</v>
      </c>
      <c r="N2236" s="92" t="s">
        <v>572</v>
      </c>
    </row>
    <row r="2237" spans="2:14" x14ac:dyDescent="0.2">
      <c r="C2237" t="s">
        <v>607</v>
      </c>
      <c r="D2237" t="s">
        <v>3</v>
      </c>
      <c r="E2237" t="s">
        <v>3</v>
      </c>
      <c r="F2237">
        <v>0.94</v>
      </c>
      <c r="G2237">
        <v>1.65</v>
      </c>
      <c r="H2237">
        <v>2.4700000000000002</v>
      </c>
      <c r="I2237">
        <v>3.04</v>
      </c>
      <c r="J2237">
        <v>3.26</v>
      </c>
      <c r="K2237">
        <v>3.44</v>
      </c>
      <c r="L2237">
        <v>3.45</v>
      </c>
      <c r="M2237">
        <v>3.45</v>
      </c>
      <c r="N2237" s="92" t="s">
        <v>3</v>
      </c>
    </row>
    <row r="2238" spans="2:14" x14ac:dyDescent="0.2">
      <c r="C2238" t="s">
        <v>608</v>
      </c>
      <c r="D2238">
        <v>0.81</v>
      </c>
      <c r="E2238">
        <v>1.38</v>
      </c>
      <c r="F2238">
        <v>2.36</v>
      </c>
      <c r="G2238">
        <v>3.68</v>
      </c>
      <c r="H2238">
        <v>5.66</v>
      </c>
      <c r="I2238">
        <v>8.24</v>
      </c>
      <c r="J2238">
        <v>11.94</v>
      </c>
      <c r="K2238">
        <v>16.149999999999999</v>
      </c>
      <c r="L2238">
        <v>20.57</v>
      </c>
      <c r="M2238">
        <v>24.22</v>
      </c>
      <c r="N2238" s="92">
        <v>1.01</v>
      </c>
    </row>
    <row r="2239" spans="2:14" x14ac:dyDescent="0.2">
      <c r="C2239" t="s">
        <v>609</v>
      </c>
      <c r="D2239">
        <v>0.81</v>
      </c>
      <c r="E2239">
        <v>1.38</v>
      </c>
      <c r="F2239">
        <v>1.03</v>
      </c>
      <c r="G2239">
        <v>0.92</v>
      </c>
      <c r="H2239">
        <v>0.7</v>
      </c>
      <c r="I2239">
        <v>0.4</v>
      </c>
      <c r="J2239">
        <v>0.1</v>
      </c>
      <c r="K2239">
        <v>0.01</v>
      </c>
      <c r="L2239" t="s">
        <v>3</v>
      </c>
      <c r="M2239" t="s">
        <v>3</v>
      </c>
      <c r="N2239" s="92">
        <v>1.01</v>
      </c>
    </row>
    <row r="2240" spans="2:14" x14ac:dyDescent="0.2">
      <c r="C2240" t="s">
        <v>610</v>
      </c>
      <c r="D2240" t="s">
        <v>572</v>
      </c>
      <c r="E2240" t="s">
        <v>3</v>
      </c>
      <c r="F2240">
        <v>1.34</v>
      </c>
      <c r="G2240">
        <v>2.77</v>
      </c>
      <c r="H2240">
        <v>4.95</v>
      </c>
      <c r="I2240">
        <v>7.84</v>
      </c>
      <c r="J2240">
        <v>11.84</v>
      </c>
      <c r="K2240">
        <v>16.14</v>
      </c>
      <c r="L2240">
        <v>20.57</v>
      </c>
      <c r="M2240">
        <v>24.22</v>
      </c>
      <c r="N2240" s="92" t="s">
        <v>3</v>
      </c>
    </row>
    <row r="2241" spans="3:14" x14ac:dyDescent="0.2">
      <c r="C2241" t="s">
        <v>580</v>
      </c>
      <c r="D2241">
        <v>0.01</v>
      </c>
      <c r="E2241">
        <v>0.08</v>
      </c>
      <c r="F2241">
        <v>0.28000000000000003</v>
      </c>
      <c r="G2241">
        <v>0.52</v>
      </c>
      <c r="H2241">
        <v>0.98</v>
      </c>
      <c r="I2241">
        <v>1.91</v>
      </c>
      <c r="J2241">
        <v>4.4400000000000004</v>
      </c>
      <c r="K2241">
        <v>6.74</v>
      </c>
      <c r="L2241">
        <v>9.23</v>
      </c>
      <c r="M2241">
        <v>11.12</v>
      </c>
      <c r="N2241" s="92">
        <v>0.02</v>
      </c>
    </row>
    <row r="2242" spans="3:14" x14ac:dyDescent="0.2">
      <c r="C2242" t="s">
        <v>581</v>
      </c>
      <c r="D2242">
        <v>0</v>
      </c>
      <c r="E2242">
        <v>0.04</v>
      </c>
      <c r="F2242">
        <v>0.35</v>
      </c>
      <c r="G2242">
        <v>0.66</v>
      </c>
      <c r="H2242">
        <v>0.99</v>
      </c>
      <c r="I2242">
        <v>1.46</v>
      </c>
      <c r="J2242">
        <v>1.76</v>
      </c>
      <c r="K2242">
        <v>2.59</v>
      </c>
      <c r="L2242">
        <v>3.43</v>
      </c>
      <c r="M2242">
        <v>4.26</v>
      </c>
      <c r="N2242" s="92">
        <v>0.01</v>
      </c>
    </row>
    <row r="2243" spans="3:14" x14ac:dyDescent="0.2">
      <c r="C2243" t="s">
        <v>582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 s="92">
        <v>0</v>
      </c>
    </row>
    <row r="2244" spans="3:14" x14ac:dyDescent="0.2">
      <c r="C2244" t="s">
        <v>47</v>
      </c>
      <c r="D2244" t="s">
        <v>572</v>
      </c>
      <c r="E2244" t="s">
        <v>3</v>
      </c>
      <c r="F2244">
        <v>0.1</v>
      </c>
      <c r="G2244">
        <v>0.2</v>
      </c>
      <c r="H2244">
        <v>0.39</v>
      </c>
      <c r="I2244">
        <v>0.78</v>
      </c>
      <c r="J2244">
        <v>1.43</v>
      </c>
      <c r="K2244">
        <v>2.41</v>
      </c>
      <c r="L2244">
        <v>3.48</v>
      </c>
      <c r="M2244">
        <v>4.3899999999999997</v>
      </c>
      <c r="N2244" s="92" t="s">
        <v>572</v>
      </c>
    </row>
    <row r="2245" spans="3:14" x14ac:dyDescent="0.2">
      <c r="C2245" t="s">
        <v>583</v>
      </c>
      <c r="D2245">
        <v>0.01</v>
      </c>
      <c r="E2245">
        <v>0.14000000000000001</v>
      </c>
      <c r="F2245">
        <v>0.33</v>
      </c>
      <c r="G2245">
        <v>0.6</v>
      </c>
      <c r="H2245">
        <v>0.97</v>
      </c>
      <c r="I2245">
        <v>1.21</v>
      </c>
      <c r="J2245">
        <v>1.21</v>
      </c>
      <c r="K2245">
        <v>1.23</v>
      </c>
      <c r="L2245">
        <v>1.23</v>
      </c>
      <c r="M2245">
        <v>1.24</v>
      </c>
      <c r="N2245" s="92">
        <v>0.03</v>
      </c>
    </row>
    <row r="2246" spans="3:14" x14ac:dyDescent="0.2">
      <c r="C2246" t="s">
        <v>584</v>
      </c>
      <c r="D2246">
        <v>0.01</v>
      </c>
      <c r="E2246">
        <v>0.08</v>
      </c>
      <c r="F2246">
        <v>0.21</v>
      </c>
      <c r="G2246">
        <v>0.46</v>
      </c>
      <c r="H2246">
        <v>0.88</v>
      </c>
      <c r="I2246">
        <v>1.29</v>
      </c>
      <c r="J2246">
        <v>1.48</v>
      </c>
      <c r="K2246">
        <v>1.55</v>
      </c>
      <c r="L2246">
        <v>1.58</v>
      </c>
      <c r="M2246">
        <v>1.58</v>
      </c>
      <c r="N2246" s="92">
        <v>0.02</v>
      </c>
    </row>
    <row r="2247" spans="3:14" x14ac:dyDescent="0.2">
      <c r="C2247" t="s">
        <v>585</v>
      </c>
      <c r="D2247">
        <v>0.09</v>
      </c>
      <c r="E2247">
        <v>0.12</v>
      </c>
      <c r="F2247">
        <v>0.1</v>
      </c>
      <c r="G2247">
        <v>0.16</v>
      </c>
      <c r="H2247">
        <v>0.22</v>
      </c>
      <c r="I2247">
        <v>0.27</v>
      </c>
      <c r="J2247">
        <v>0.28999999999999998</v>
      </c>
      <c r="K2247">
        <v>0.28999999999999998</v>
      </c>
      <c r="L2247">
        <v>0.3</v>
      </c>
      <c r="M2247">
        <v>0.3</v>
      </c>
      <c r="N2247" s="92">
        <v>0.11</v>
      </c>
    </row>
    <row r="2248" spans="3:14" x14ac:dyDescent="0.2">
      <c r="C2248" t="s">
        <v>586</v>
      </c>
      <c r="D2248">
        <v>0.63</v>
      </c>
      <c r="E2248">
        <v>0.92</v>
      </c>
      <c r="F2248">
        <v>0.99</v>
      </c>
      <c r="G2248">
        <v>1.1000000000000001</v>
      </c>
      <c r="H2248">
        <v>1.23</v>
      </c>
      <c r="I2248">
        <v>1.32</v>
      </c>
      <c r="J2248">
        <v>1.32</v>
      </c>
      <c r="K2248">
        <v>1.33</v>
      </c>
      <c r="L2248">
        <v>1.33</v>
      </c>
      <c r="M2248">
        <v>1.33</v>
      </c>
      <c r="N2248" s="92">
        <v>0.8</v>
      </c>
    </row>
    <row r="2249" spans="3:14" x14ac:dyDescent="0.2">
      <c r="C2249" t="s">
        <v>587</v>
      </c>
      <c r="D2249">
        <v>0.04</v>
      </c>
      <c r="E2249">
        <v>0</v>
      </c>
      <c r="F2249">
        <v>0.01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 s="92">
        <v>0.02</v>
      </c>
    </row>
    <row r="2250" spans="3:14" x14ac:dyDescent="0.2">
      <c r="C2250" t="s">
        <v>588</v>
      </c>
      <c r="D2250" s="20">
        <f t="shared" ref="D2250:I2250" si="898">D2230+D2233+D2234+D2238</f>
        <v>65.710000000000008</v>
      </c>
      <c r="E2250" s="20">
        <f t="shared" si="898"/>
        <v>64.11</v>
      </c>
      <c r="F2250" s="20">
        <f t="shared" si="898"/>
        <v>68.64</v>
      </c>
      <c r="G2250" s="20">
        <f t="shared" si="898"/>
        <v>70.45</v>
      </c>
      <c r="H2250" s="20">
        <f t="shared" si="898"/>
        <v>69.38</v>
      </c>
      <c r="I2250" s="20">
        <f t="shared" si="898"/>
        <v>67.510000000000005</v>
      </c>
      <c r="J2250" s="20">
        <f>J2230+J2234+J2238</f>
        <v>70.16</v>
      </c>
      <c r="K2250" s="20">
        <f>K2230+K2234+K2238</f>
        <v>72.459999999999994</v>
      </c>
      <c r="L2250" s="20">
        <f>L2230+L2234+L2238</f>
        <v>76.2</v>
      </c>
      <c r="M2250" s="20">
        <f>M2230+M2234+M2238</f>
        <v>79.02</v>
      </c>
      <c r="N2250" s="94">
        <f>N2230+N2233+N2234+N2238</f>
        <v>59.32</v>
      </c>
    </row>
    <row r="2251" spans="3:14" x14ac:dyDescent="0.2">
      <c r="C2251" t="s">
        <v>654</v>
      </c>
      <c r="D2251">
        <v>-2.2200000000000002</v>
      </c>
      <c r="E2251">
        <v>-2.56</v>
      </c>
      <c r="F2251">
        <v>-4.34</v>
      </c>
      <c r="G2251">
        <v>-7.54</v>
      </c>
      <c r="H2251">
        <v>-7.54</v>
      </c>
      <c r="I2251">
        <v>-7.54</v>
      </c>
      <c r="J2251">
        <v>-7.54</v>
      </c>
      <c r="K2251">
        <v>-7.54</v>
      </c>
      <c r="L2251">
        <v>-7.54</v>
      </c>
      <c r="M2251">
        <v>-7.54</v>
      </c>
      <c r="N2251" s="92">
        <v>-2.2200000000000002</v>
      </c>
    </row>
    <row r="2252" spans="3:14" x14ac:dyDescent="0.2">
      <c r="C2252" s="14" t="s">
        <v>590</v>
      </c>
      <c r="D2252" s="32">
        <f>D2250+D2251</f>
        <v>63.490000000000009</v>
      </c>
      <c r="E2252" s="32">
        <f t="shared" ref="E2252:M2252" si="899">E2250+E2251</f>
        <v>61.55</v>
      </c>
      <c r="F2252" s="32">
        <f t="shared" si="899"/>
        <v>64.3</v>
      </c>
      <c r="G2252" s="32">
        <f t="shared" si="899"/>
        <v>62.910000000000004</v>
      </c>
      <c r="H2252" s="32">
        <f t="shared" si="899"/>
        <v>61.839999999999996</v>
      </c>
      <c r="I2252" s="32">
        <f t="shared" si="899"/>
        <v>59.970000000000006</v>
      </c>
      <c r="J2252" s="32">
        <f t="shared" si="899"/>
        <v>62.62</v>
      </c>
      <c r="K2252" s="32">
        <f t="shared" si="899"/>
        <v>64.919999999999987</v>
      </c>
      <c r="L2252" s="32">
        <f t="shared" si="899"/>
        <v>68.66</v>
      </c>
      <c r="M2252" s="32">
        <f t="shared" si="899"/>
        <v>71.47999999999999</v>
      </c>
      <c r="N2252" s="95">
        <f>N2250+N2251</f>
        <v>57.1</v>
      </c>
    </row>
    <row r="2253" spans="3:14" x14ac:dyDescent="0.2">
      <c r="C2253" t="s">
        <v>591</v>
      </c>
      <c r="D2253">
        <v>18.72</v>
      </c>
      <c r="E2253">
        <v>17.239999999999998</v>
      </c>
      <c r="F2253">
        <v>17.239999999999998</v>
      </c>
      <c r="G2253">
        <v>10.06</v>
      </c>
      <c r="H2253">
        <v>8.42</v>
      </c>
      <c r="I2253">
        <v>8.42</v>
      </c>
      <c r="J2253">
        <v>2.61</v>
      </c>
      <c r="K2253">
        <v>1.3</v>
      </c>
      <c r="N2253" s="92">
        <v>17.98</v>
      </c>
    </row>
    <row r="2254" spans="3:14" x14ac:dyDescent="0.2">
      <c r="C2254" t="s">
        <v>592</v>
      </c>
      <c r="D2254">
        <v>18.72</v>
      </c>
      <c r="E2254">
        <v>17.239999999999998</v>
      </c>
      <c r="F2254">
        <v>17.239999999999998</v>
      </c>
      <c r="G2254">
        <v>10.06</v>
      </c>
      <c r="H2254">
        <v>8.42</v>
      </c>
      <c r="I2254">
        <v>8.42</v>
      </c>
      <c r="J2254">
        <v>2.61</v>
      </c>
      <c r="K2254">
        <v>1.3</v>
      </c>
      <c r="L2254" t="s">
        <v>3</v>
      </c>
      <c r="M2254" t="s">
        <v>572</v>
      </c>
      <c r="N2254" s="92">
        <v>17.98</v>
      </c>
    </row>
    <row r="2255" spans="3:14" x14ac:dyDescent="0.2">
      <c r="C2255" t="s">
        <v>593</v>
      </c>
      <c r="D2255" t="s">
        <v>572</v>
      </c>
      <c r="E2255" t="s">
        <v>3</v>
      </c>
      <c r="F2255" t="s">
        <v>3</v>
      </c>
      <c r="G2255" t="s">
        <v>3</v>
      </c>
      <c r="H2255" t="s">
        <v>3</v>
      </c>
      <c r="I2255" t="s">
        <v>3</v>
      </c>
      <c r="J2255" t="s">
        <v>572</v>
      </c>
      <c r="K2255" t="s">
        <v>3</v>
      </c>
      <c r="L2255" t="s">
        <v>3</v>
      </c>
      <c r="M2255" t="s">
        <v>3</v>
      </c>
      <c r="N2255" s="92" t="s">
        <v>3</v>
      </c>
    </row>
    <row r="2256" spans="3:14" x14ac:dyDescent="0.2">
      <c r="C2256" t="s">
        <v>594</v>
      </c>
      <c r="D2256">
        <v>26.07</v>
      </c>
      <c r="E2256">
        <v>15.19</v>
      </c>
      <c r="F2256">
        <v>16.46</v>
      </c>
      <c r="G2256">
        <v>8.9700000000000006</v>
      </c>
      <c r="H2256">
        <v>7.22</v>
      </c>
      <c r="I2256">
        <v>5.7</v>
      </c>
      <c r="J2256">
        <v>2.2599999999999998</v>
      </c>
      <c r="K2256">
        <v>2.29</v>
      </c>
      <c r="L2256">
        <v>3.73</v>
      </c>
      <c r="M2256">
        <v>5.53</v>
      </c>
      <c r="N2256" s="92">
        <v>13.75</v>
      </c>
    </row>
    <row r="2257" spans="2:14" x14ac:dyDescent="0.2">
      <c r="C2257" t="s">
        <v>612</v>
      </c>
      <c r="D2257">
        <v>2.83</v>
      </c>
      <c r="E2257">
        <v>2.2599999999999998</v>
      </c>
      <c r="F2257">
        <v>2.2599999999999998</v>
      </c>
      <c r="G2257">
        <v>2.2599999999999998</v>
      </c>
      <c r="H2257">
        <v>2.2599999999999998</v>
      </c>
      <c r="I2257">
        <v>2.2599999999999998</v>
      </c>
      <c r="J2257">
        <v>2.2599999999999998</v>
      </c>
      <c r="K2257">
        <v>0.66</v>
      </c>
      <c r="L2257" t="s">
        <v>572</v>
      </c>
      <c r="M2257" t="s">
        <v>3</v>
      </c>
      <c r="N2257" s="92">
        <v>2.2599999999999998</v>
      </c>
    </row>
    <row r="2258" spans="2:14" x14ac:dyDescent="0.2">
      <c r="C2258" t="s">
        <v>596</v>
      </c>
      <c r="D2258">
        <v>23.24</v>
      </c>
      <c r="E2258">
        <v>12.93</v>
      </c>
      <c r="F2258">
        <v>14.2</v>
      </c>
      <c r="G2258">
        <v>6.71</v>
      </c>
      <c r="H2258">
        <v>4.96</v>
      </c>
      <c r="I2258">
        <v>3.44</v>
      </c>
      <c r="J2258" t="s">
        <v>572</v>
      </c>
      <c r="K2258">
        <v>1.63</v>
      </c>
      <c r="L2258">
        <v>3.73</v>
      </c>
      <c r="M2258">
        <v>5.53</v>
      </c>
      <c r="N2258" s="92">
        <v>11.49</v>
      </c>
    </row>
    <row r="2259" spans="2:14" x14ac:dyDescent="0.2">
      <c r="C2259" s="14" t="s">
        <v>597</v>
      </c>
      <c r="D2259" s="32">
        <f>D2253-D2256</f>
        <v>-7.3500000000000014</v>
      </c>
      <c r="E2259" s="32">
        <f t="shared" ref="E2259:M2259" si="900">E2253-E2256</f>
        <v>2.0499999999999989</v>
      </c>
      <c r="F2259" s="32">
        <f t="shared" si="900"/>
        <v>0.77999999999999758</v>
      </c>
      <c r="G2259" s="32">
        <f t="shared" si="900"/>
        <v>1.0899999999999999</v>
      </c>
      <c r="H2259" s="32">
        <f t="shared" si="900"/>
        <v>1.2000000000000002</v>
      </c>
      <c r="I2259" s="32">
        <f t="shared" si="900"/>
        <v>2.7199999999999998</v>
      </c>
      <c r="J2259" s="32">
        <f t="shared" si="900"/>
        <v>0.35000000000000009</v>
      </c>
      <c r="K2259" s="32">
        <f t="shared" si="900"/>
        <v>-0.99</v>
      </c>
      <c r="L2259" s="32">
        <f t="shared" si="900"/>
        <v>-3.73</v>
      </c>
      <c r="M2259" s="32">
        <f t="shared" si="900"/>
        <v>-5.53</v>
      </c>
      <c r="N2259" s="95">
        <f>N2253-N2256</f>
        <v>4.2300000000000004</v>
      </c>
    </row>
    <row r="2260" spans="2:14" x14ac:dyDescent="0.2">
      <c r="C2260" t="s">
        <v>598</v>
      </c>
      <c r="D2260" s="20">
        <f>D2252+D2259</f>
        <v>56.140000000000008</v>
      </c>
      <c r="E2260" s="20">
        <f t="shared" ref="E2260:M2260" si="901">E2252+E2259</f>
        <v>63.599999999999994</v>
      </c>
      <c r="F2260" s="20">
        <f t="shared" si="901"/>
        <v>65.08</v>
      </c>
      <c r="G2260" s="20">
        <f t="shared" si="901"/>
        <v>64</v>
      </c>
      <c r="H2260" s="20">
        <f t="shared" si="901"/>
        <v>63.04</v>
      </c>
      <c r="I2260" s="20">
        <f t="shared" si="901"/>
        <v>62.690000000000005</v>
      </c>
      <c r="J2260" s="20">
        <f t="shared" si="901"/>
        <v>62.97</v>
      </c>
      <c r="K2260" s="20">
        <f t="shared" si="901"/>
        <v>63.929999999999986</v>
      </c>
      <c r="L2260" s="20">
        <f t="shared" si="901"/>
        <v>64.929999999999993</v>
      </c>
      <c r="M2260" s="20">
        <f t="shared" si="901"/>
        <v>65.949999999999989</v>
      </c>
      <c r="N2260" s="94">
        <f>N2252+N2259</f>
        <v>61.33</v>
      </c>
    </row>
    <row r="2261" spans="2:14" x14ac:dyDescent="0.2">
      <c r="N2261" s="92"/>
    </row>
    <row r="2262" spans="2:14" x14ac:dyDescent="0.2">
      <c r="C2262" t="s">
        <v>599</v>
      </c>
      <c r="D2262">
        <v>61.18</v>
      </c>
      <c r="E2262">
        <v>68.41</v>
      </c>
      <c r="F2262">
        <v>71.680000000000007</v>
      </c>
      <c r="G2262">
        <v>73.81</v>
      </c>
      <c r="H2262">
        <v>72.84</v>
      </c>
      <c r="I2262">
        <v>72.48</v>
      </c>
      <c r="J2262">
        <v>72.77</v>
      </c>
      <c r="K2262">
        <v>72.13</v>
      </c>
      <c r="L2262">
        <v>72.47</v>
      </c>
      <c r="M2262">
        <v>73.489999999999995</v>
      </c>
      <c r="N2262" s="92">
        <v>65.81</v>
      </c>
    </row>
    <row r="2263" spans="2:14" x14ac:dyDescent="0.2">
      <c r="N2263" s="92"/>
    </row>
    <row r="2264" spans="2:14" x14ac:dyDescent="0.2">
      <c r="N2264" s="92"/>
    </row>
    <row r="2265" spans="2:14" s="2" customFormat="1" ht="15" x14ac:dyDescent="0.25">
      <c r="B2265" s="2" t="s">
        <v>659</v>
      </c>
      <c r="C2265" s="9"/>
      <c r="N2265" s="96"/>
    </row>
    <row r="2266" spans="2:14" s="2" customFormat="1" ht="15" x14ac:dyDescent="0.25">
      <c r="B2266" s="2" t="s">
        <v>600</v>
      </c>
      <c r="N2266" s="96"/>
    </row>
    <row r="2267" spans="2:14" s="2" customFormat="1" ht="15" x14ac:dyDescent="0.25">
      <c r="B2267" s="13" t="s">
        <v>601</v>
      </c>
      <c r="D2267" s="2">
        <v>2000</v>
      </c>
      <c r="E2267" s="2">
        <v>2010</v>
      </c>
      <c r="F2267" s="2">
        <v>2015</v>
      </c>
      <c r="G2267" s="2">
        <v>2020</v>
      </c>
      <c r="H2267" s="2">
        <v>2025</v>
      </c>
      <c r="I2267" s="2">
        <v>2030</v>
      </c>
      <c r="J2267" s="2">
        <v>2035</v>
      </c>
      <c r="K2267" s="2">
        <v>2040</v>
      </c>
      <c r="L2267" s="2">
        <v>2045</v>
      </c>
      <c r="M2267" s="2">
        <v>2050</v>
      </c>
      <c r="N2267" s="96">
        <v>2005</v>
      </c>
    </row>
    <row r="2268" spans="2:14" x14ac:dyDescent="0.2">
      <c r="C2268" t="s">
        <v>568</v>
      </c>
      <c r="D2268">
        <v>17.71</v>
      </c>
      <c r="E2268">
        <v>14.16</v>
      </c>
      <c r="F2268">
        <v>17.079999999999998</v>
      </c>
      <c r="G2268">
        <v>18.98</v>
      </c>
      <c r="H2268">
        <v>19.3</v>
      </c>
      <c r="I2268">
        <v>19.59</v>
      </c>
      <c r="J2268">
        <v>19.89</v>
      </c>
      <c r="K2268">
        <v>20.22</v>
      </c>
      <c r="L2268">
        <v>20.53</v>
      </c>
      <c r="M2268">
        <v>20.86</v>
      </c>
      <c r="N2268" s="92">
        <v>15.56</v>
      </c>
    </row>
    <row r="2269" spans="2:14" x14ac:dyDescent="0.2">
      <c r="C2269" t="s">
        <v>633</v>
      </c>
      <c r="D2269">
        <v>17.71</v>
      </c>
      <c r="E2269">
        <v>14.16</v>
      </c>
      <c r="F2269">
        <v>15.95</v>
      </c>
      <c r="G2269">
        <v>16.09</v>
      </c>
      <c r="H2269">
        <v>16.239999999999998</v>
      </c>
      <c r="I2269">
        <v>16.39</v>
      </c>
      <c r="J2269">
        <v>16.47</v>
      </c>
      <c r="K2269">
        <v>16.59</v>
      </c>
      <c r="L2269">
        <v>16.53</v>
      </c>
      <c r="M2269">
        <v>16.63</v>
      </c>
      <c r="N2269" s="92">
        <v>15.56</v>
      </c>
    </row>
    <row r="2270" spans="2:14" x14ac:dyDescent="0.2">
      <c r="C2270" t="s">
        <v>603</v>
      </c>
      <c r="D2270" t="s">
        <v>572</v>
      </c>
      <c r="E2270" t="s">
        <v>3</v>
      </c>
      <c r="F2270">
        <v>1.1299999999999999</v>
      </c>
      <c r="G2270">
        <v>2.89</v>
      </c>
      <c r="H2270">
        <v>3.05</v>
      </c>
      <c r="I2270">
        <v>3.2</v>
      </c>
      <c r="J2270">
        <v>3.42</v>
      </c>
      <c r="K2270">
        <v>3.62</v>
      </c>
      <c r="L2270">
        <v>4</v>
      </c>
      <c r="M2270">
        <v>4.2300000000000004</v>
      </c>
      <c r="N2270" s="92" t="s">
        <v>572</v>
      </c>
    </row>
    <row r="2271" spans="2:14" x14ac:dyDescent="0.2">
      <c r="C2271" t="s">
        <v>571</v>
      </c>
      <c r="D2271">
        <v>13.72</v>
      </c>
      <c r="E2271">
        <v>14.17</v>
      </c>
      <c r="F2271">
        <v>13.5</v>
      </c>
      <c r="G2271">
        <v>11.91</v>
      </c>
      <c r="H2271">
        <v>8.7799999999999994</v>
      </c>
      <c r="I2271">
        <v>4.84</v>
      </c>
      <c r="J2271">
        <v>0</v>
      </c>
      <c r="K2271">
        <v>0</v>
      </c>
      <c r="L2271">
        <v>0</v>
      </c>
      <c r="M2271">
        <v>0</v>
      </c>
      <c r="N2271" s="92">
        <v>13.94</v>
      </c>
    </row>
    <row r="2272" spans="2:14" x14ac:dyDescent="0.2">
      <c r="C2272" t="s">
        <v>604</v>
      </c>
      <c r="D2272">
        <v>1.1100000000000001</v>
      </c>
      <c r="E2272">
        <v>1.3</v>
      </c>
      <c r="F2272">
        <v>1.63</v>
      </c>
      <c r="G2272">
        <v>1.9</v>
      </c>
      <c r="H2272">
        <v>4.09</v>
      </c>
      <c r="I2272">
        <v>6.41</v>
      </c>
      <c r="J2272">
        <v>13.01</v>
      </c>
      <c r="K2272">
        <v>11.56</v>
      </c>
      <c r="L2272">
        <v>10.5</v>
      </c>
      <c r="M2272">
        <v>9.34</v>
      </c>
      <c r="N2272" s="92">
        <v>1.25</v>
      </c>
    </row>
    <row r="2273" spans="3:14" x14ac:dyDescent="0.2">
      <c r="C2273" t="s">
        <v>605</v>
      </c>
      <c r="D2273">
        <v>1.1100000000000001</v>
      </c>
      <c r="E2273">
        <v>1.3</v>
      </c>
      <c r="F2273">
        <v>1.05</v>
      </c>
      <c r="G2273">
        <v>0.86</v>
      </c>
      <c r="H2273">
        <v>0.53</v>
      </c>
      <c r="I2273">
        <v>0.34</v>
      </c>
      <c r="J2273">
        <v>0.18</v>
      </c>
      <c r="K2273" t="s">
        <v>572</v>
      </c>
      <c r="L2273" t="s">
        <v>3</v>
      </c>
      <c r="M2273" t="s">
        <v>3</v>
      </c>
      <c r="N2273" s="92">
        <v>1.25</v>
      </c>
    </row>
    <row r="2274" spans="3:14" x14ac:dyDescent="0.2">
      <c r="C2274" t="s">
        <v>606</v>
      </c>
      <c r="D2274" t="s">
        <v>3</v>
      </c>
      <c r="E2274" t="s">
        <v>3</v>
      </c>
      <c r="F2274" t="s">
        <v>3</v>
      </c>
      <c r="G2274" t="s">
        <v>3</v>
      </c>
      <c r="H2274">
        <v>2.0099999999999998</v>
      </c>
      <c r="I2274">
        <v>4.17</v>
      </c>
      <c r="J2274">
        <v>10.81</v>
      </c>
      <c r="K2274">
        <v>9.43</v>
      </c>
      <c r="L2274">
        <v>8.36</v>
      </c>
      <c r="M2274">
        <v>7.2</v>
      </c>
      <c r="N2274" s="92" t="s">
        <v>3</v>
      </c>
    </row>
    <row r="2275" spans="3:14" x14ac:dyDescent="0.2">
      <c r="C2275" t="s">
        <v>607</v>
      </c>
      <c r="D2275" t="s">
        <v>3</v>
      </c>
      <c r="E2275" t="s">
        <v>3</v>
      </c>
      <c r="F2275">
        <v>0.57999999999999996</v>
      </c>
      <c r="G2275">
        <v>1.04</v>
      </c>
      <c r="H2275">
        <v>1.55</v>
      </c>
      <c r="I2275">
        <v>1.9</v>
      </c>
      <c r="J2275">
        <v>2.0299999999999998</v>
      </c>
      <c r="K2275">
        <v>2.13</v>
      </c>
      <c r="L2275">
        <v>2.14</v>
      </c>
      <c r="M2275">
        <v>2.14</v>
      </c>
      <c r="N2275" s="92" t="s">
        <v>3</v>
      </c>
    </row>
    <row r="2276" spans="3:14" x14ac:dyDescent="0.2">
      <c r="C2276" t="s">
        <v>608</v>
      </c>
      <c r="D2276">
        <v>0.45</v>
      </c>
      <c r="E2276">
        <v>0.76</v>
      </c>
      <c r="F2276">
        <v>1.3</v>
      </c>
      <c r="G2276">
        <v>2.02</v>
      </c>
      <c r="H2276">
        <v>3.06</v>
      </c>
      <c r="I2276">
        <v>4.28</v>
      </c>
      <c r="J2276">
        <v>5.6</v>
      </c>
      <c r="K2276">
        <v>7.27</v>
      </c>
      <c r="L2276">
        <v>8.99</v>
      </c>
      <c r="M2276">
        <v>10.47</v>
      </c>
      <c r="N2276" s="92">
        <v>0.55000000000000004</v>
      </c>
    </row>
    <row r="2277" spans="3:14" x14ac:dyDescent="0.2">
      <c r="C2277" t="s">
        <v>609</v>
      </c>
      <c r="D2277">
        <v>0.45</v>
      </c>
      <c r="E2277">
        <v>0.76</v>
      </c>
      <c r="F2277">
        <v>0.56000000000000005</v>
      </c>
      <c r="G2277">
        <v>0.5</v>
      </c>
      <c r="H2277">
        <v>0.38</v>
      </c>
      <c r="I2277">
        <v>0.21</v>
      </c>
      <c r="J2277">
        <v>0.05</v>
      </c>
      <c r="K2277">
        <v>0</v>
      </c>
      <c r="L2277" t="s">
        <v>3</v>
      </c>
      <c r="M2277" t="s">
        <v>3</v>
      </c>
      <c r="N2277" s="92">
        <v>0.55000000000000004</v>
      </c>
    </row>
    <row r="2278" spans="3:14" x14ac:dyDescent="0.2">
      <c r="C2278" t="s">
        <v>610</v>
      </c>
      <c r="D2278" t="s">
        <v>572</v>
      </c>
      <c r="E2278" t="s">
        <v>3</v>
      </c>
      <c r="F2278">
        <v>0.74</v>
      </c>
      <c r="G2278">
        <v>1.52</v>
      </c>
      <c r="H2278">
        <v>2.68</v>
      </c>
      <c r="I2278">
        <v>4.07</v>
      </c>
      <c r="J2278">
        <v>5.54</v>
      </c>
      <c r="K2278">
        <v>7.26</v>
      </c>
      <c r="L2278">
        <v>8.99</v>
      </c>
      <c r="M2278">
        <v>10.47</v>
      </c>
      <c r="N2278" s="92" t="s">
        <v>3</v>
      </c>
    </row>
    <row r="2279" spans="3:14" x14ac:dyDescent="0.2">
      <c r="C2279" t="s">
        <v>580</v>
      </c>
      <c r="D2279">
        <v>0</v>
      </c>
      <c r="E2279">
        <v>0.02</v>
      </c>
      <c r="F2279">
        <v>0.08</v>
      </c>
      <c r="G2279">
        <v>0.14000000000000001</v>
      </c>
      <c r="H2279">
        <v>0.26</v>
      </c>
      <c r="I2279">
        <v>0.52</v>
      </c>
      <c r="J2279">
        <v>1.2</v>
      </c>
      <c r="K2279">
        <v>1.82</v>
      </c>
      <c r="L2279">
        <v>2.4900000000000002</v>
      </c>
      <c r="M2279">
        <v>3</v>
      </c>
      <c r="N2279" s="92">
        <v>0.01</v>
      </c>
    </row>
    <row r="2280" spans="3:14" x14ac:dyDescent="0.2">
      <c r="C2280" t="s">
        <v>581</v>
      </c>
      <c r="D2280">
        <v>0</v>
      </c>
      <c r="E2280">
        <v>0.02</v>
      </c>
      <c r="F2280">
        <v>0.21</v>
      </c>
      <c r="G2280">
        <v>0.4</v>
      </c>
      <c r="H2280">
        <v>0.59</v>
      </c>
      <c r="I2280">
        <v>0.88</v>
      </c>
      <c r="J2280">
        <v>1.06</v>
      </c>
      <c r="K2280">
        <v>1.56</v>
      </c>
      <c r="L2280">
        <v>2.06</v>
      </c>
      <c r="M2280">
        <v>2.56</v>
      </c>
      <c r="N2280" s="92">
        <v>0.01</v>
      </c>
    </row>
    <row r="2281" spans="3:14" x14ac:dyDescent="0.2">
      <c r="C2281" t="s">
        <v>582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 s="92">
        <v>0</v>
      </c>
    </row>
    <row r="2282" spans="3:14" x14ac:dyDescent="0.2">
      <c r="C2282" t="s">
        <v>47</v>
      </c>
      <c r="D2282" t="s">
        <v>3</v>
      </c>
      <c r="E2282" t="s">
        <v>3</v>
      </c>
      <c r="F2282">
        <v>0.05</v>
      </c>
      <c r="G2282">
        <v>0.1</v>
      </c>
      <c r="H2282">
        <v>0.2</v>
      </c>
      <c r="I2282">
        <v>0.39</v>
      </c>
      <c r="J2282">
        <v>0.72</v>
      </c>
      <c r="K2282">
        <v>1.2</v>
      </c>
      <c r="L2282">
        <v>1.74</v>
      </c>
      <c r="M2282">
        <v>2.19</v>
      </c>
      <c r="N2282" s="92" t="s">
        <v>3</v>
      </c>
    </row>
    <row r="2283" spans="3:14" x14ac:dyDescent="0.2">
      <c r="C2283" t="s">
        <v>583</v>
      </c>
      <c r="D2283">
        <v>0.01</v>
      </c>
      <c r="E2283">
        <v>0.09</v>
      </c>
      <c r="F2283">
        <v>0.23</v>
      </c>
      <c r="G2283">
        <v>0.41</v>
      </c>
      <c r="H2283">
        <v>0.66</v>
      </c>
      <c r="I2283">
        <v>0.82</v>
      </c>
      <c r="J2283">
        <v>0.82</v>
      </c>
      <c r="K2283">
        <v>0.83</v>
      </c>
      <c r="L2283">
        <v>0.83</v>
      </c>
      <c r="M2283">
        <v>0.84</v>
      </c>
      <c r="N2283" s="92">
        <v>0.02</v>
      </c>
    </row>
    <row r="2284" spans="3:14" x14ac:dyDescent="0.2">
      <c r="C2284" t="s">
        <v>584</v>
      </c>
      <c r="D2284">
        <v>0.01</v>
      </c>
      <c r="E2284">
        <v>0.05</v>
      </c>
      <c r="F2284">
        <v>0.13</v>
      </c>
      <c r="G2284">
        <v>0.28000000000000003</v>
      </c>
      <c r="H2284">
        <v>0.54</v>
      </c>
      <c r="I2284">
        <v>0.79</v>
      </c>
      <c r="J2284">
        <v>0.91</v>
      </c>
      <c r="K2284">
        <v>0.95</v>
      </c>
      <c r="L2284">
        <v>0.97</v>
      </c>
      <c r="M2284">
        <v>0.97</v>
      </c>
      <c r="N2284" s="92">
        <v>0.01</v>
      </c>
    </row>
    <row r="2285" spans="3:14" x14ac:dyDescent="0.2">
      <c r="C2285" t="s">
        <v>585</v>
      </c>
      <c r="D2285">
        <v>0.05</v>
      </c>
      <c r="E2285">
        <v>7.0000000000000007E-2</v>
      </c>
      <c r="F2285">
        <v>0.06</v>
      </c>
      <c r="G2285">
        <v>0.09</v>
      </c>
      <c r="H2285">
        <v>0.13</v>
      </c>
      <c r="I2285">
        <v>0.16</v>
      </c>
      <c r="J2285">
        <v>0.17</v>
      </c>
      <c r="K2285">
        <v>0.17</v>
      </c>
      <c r="L2285">
        <v>0.18</v>
      </c>
      <c r="M2285">
        <v>0.18</v>
      </c>
      <c r="N2285" s="92">
        <v>0.06</v>
      </c>
    </row>
    <row r="2286" spans="3:14" x14ac:dyDescent="0.2">
      <c r="C2286" t="s">
        <v>586</v>
      </c>
      <c r="D2286">
        <v>0.35</v>
      </c>
      <c r="E2286">
        <v>0.51</v>
      </c>
      <c r="F2286">
        <v>0.54</v>
      </c>
      <c r="G2286">
        <v>0.6</v>
      </c>
      <c r="H2286">
        <v>0.68</v>
      </c>
      <c r="I2286">
        <v>0.73</v>
      </c>
      <c r="J2286">
        <v>0.73</v>
      </c>
      <c r="K2286">
        <v>0.73</v>
      </c>
      <c r="L2286">
        <v>0.73</v>
      </c>
      <c r="M2286">
        <v>0.73</v>
      </c>
      <c r="N2286" s="92">
        <v>0.44</v>
      </c>
    </row>
    <row r="2287" spans="3:14" x14ac:dyDescent="0.2">
      <c r="C2287" t="s">
        <v>587</v>
      </c>
      <c r="D2287">
        <v>0.02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 s="92">
        <v>0.01</v>
      </c>
    </row>
    <row r="2288" spans="3:14" x14ac:dyDescent="0.2">
      <c r="C2288" t="s">
        <v>588</v>
      </c>
      <c r="D2288" s="20">
        <f t="shared" ref="D2288:I2288" si="902">D2268+D2271+D2272+D2276</f>
        <v>32.99</v>
      </c>
      <c r="E2288" s="20">
        <f t="shared" si="902"/>
        <v>30.39</v>
      </c>
      <c r="F2288" s="20">
        <f t="shared" si="902"/>
        <v>33.51</v>
      </c>
      <c r="G2288" s="20">
        <f t="shared" si="902"/>
        <v>34.81</v>
      </c>
      <c r="H2288" s="20">
        <f t="shared" si="902"/>
        <v>35.230000000000004</v>
      </c>
      <c r="I2288" s="20">
        <f t="shared" si="902"/>
        <v>35.119999999999997</v>
      </c>
      <c r="J2288" s="20">
        <f>J2268+J2272+J2276</f>
        <v>38.5</v>
      </c>
      <c r="K2288" s="20">
        <f>K2268+K2272+K2276</f>
        <v>39.049999999999997</v>
      </c>
      <c r="L2288" s="20">
        <f>L2268+L2272+L2276</f>
        <v>40.020000000000003</v>
      </c>
      <c r="M2288" s="20">
        <f>M2268+M2272+M2276</f>
        <v>40.67</v>
      </c>
      <c r="N2288" s="94">
        <f>N2268+N2271+N2272+N2276</f>
        <v>31.3</v>
      </c>
    </row>
    <row r="2289" spans="2:14" x14ac:dyDescent="0.2">
      <c r="C2289" t="s">
        <v>589</v>
      </c>
      <c r="D2289">
        <v>-0.89</v>
      </c>
      <c r="E2289">
        <v>-1.02</v>
      </c>
      <c r="F2289">
        <v>-2.13</v>
      </c>
      <c r="G2289">
        <v>-4.12</v>
      </c>
      <c r="H2289">
        <v>-4.12</v>
      </c>
      <c r="I2289">
        <v>-4.12</v>
      </c>
      <c r="J2289">
        <v>-4.12</v>
      </c>
      <c r="K2289">
        <v>-4.12</v>
      </c>
      <c r="L2289">
        <v>-4.12</v>
      </c>
      <c r="M2289">
        <v>-4.12</v>
      </c>
      <c r="N2289" s="92">
        <v>-0.89</v>
      </c>
    </row>
    <row r="2290" spans="2:14" x14ac:dyDescent="0.2">
      <c r="C2290" s="14" t="s">
        <v>590</v>
      </c>
      <c r="D2290" s="32">
        <f>D2288+D2289</f>
        <v>32.1</v>
      </c>
      <c r="E2290" s="32">
        <f t="shared" ref="E2290:M2290" si="903">E2288+E2289</f>
        <v>29.37</v>
      </c>
      <c r="F2290" s="32">
        <f t="shared" si="903"/>
        <v>31.38</v>
      </c>
      <c r="G2290" s="32">
        <f t="shared" si="903"/>
        <v>30.69</v>
      </c>
      <c r="H2290" s="32">
        <f t="shared" si="903"/>
        <v>31.110000000000003</v>
      </c>
      <c r="I2290" s="32">
        <f t="shared" si="903"/>
        <v>30.999999999999996</v>
      </c>
      <c r="J2290" s="32">
        <f t="shared" si="903"/>
        <v>34.380000000000003</v>
      </c>
      <c r="K2290" s="32">
        <f t="shared" si="903"/>
        <v>34.93</v>
      </c>
      <c r="L2290" s="32">
        <f t="shared" si="903"/>
        <v>35.900000000000006</v>
      </c>
      <c r="M2290" s="32">
        <f t="shared" si="903"/>
        <v>36.550000000000004</v>
      </c>
      <c r="N2290" s="95">
        <f>N2288+N2289</f>
        <v>30.41</v>
      </c>
    </row>
    <row r="2291" spans="2:14" x14ac:dyDescent="0.2">
      <c r="C2291" t="s">
        <v>591</v>
      </c>
      <c r="D2291">
        <v>10.16</v>
      </c>
      <c r="E2291">
        <v>9.36</v>
      </c>
      <c r="F2291">
        <v>9.36</v>
      </c>
      <c r="G2291">
        <v>5.46</v>
      </c>
      <c r="H2291">
        <v>4.57</v>
      </c>
      <c r="I2291">
        <v>4.57</v>
      </c>
      <c r="J2291">
        <v>1.42</v>
      </c>
      <c r="K2291">
        <v>0.71</v>
      </c>
      <c r="N2291" s="92">
        <v>9.76</v>
      </c>
    </row>
    <row r="2292" spans="2:14" x14ac:dyDescent="0.2">
      <c r="C2292" t="s">
        <v>592</v>
      </c>
      <c r="D2292">
        <v>10.16</v>
      </c>
      <c r="E2292">
        <v>9.36</v>
      </c>
      <c r="F2292">
        <v>9.36</v>
      </c>
      <c r="G2292">
        <v>5.46</v>
      </c>
      <c r="H2292">
        <v>4.57</v>
      </c>
      <c r="I2292">
        <v>4.57</v>
      </c>
      <c r="J2292">
        <v>1.42</v>
      </c>
      <c r="K2292">
        <v>0.71</v>
      </c>
      <c r="L2292" t="s">
        <v>3</v>
      </c>
      <c r="M2292" t="s">
        <v>3</v>
      </c>
      <c r="N2292" s="92">
        <v>9.76</v>
      </c>
    </row>
    <row r="2293" spans="2:14" x14ac:dyDescent="0.2">
      <c r="C2293" t="s">
        <v>593</v>
      </c>
      <c r="D2293" t="s">
        <v>3</v>
      </c>
      <c r="E2293" t="s">
        <v>3</v>
      </c>
      <c r="F2293" t="s">
        <v>3</v>
      </c>
      <c r="G2293" t="s">
        <v>572</v>
      </c>
      <c r="H2293" t="s">
        <v>3</v>
      </c>
      <c r="I2293" t="s">
        <v>3</v>
      </c>
      <c r="J2293" t="s">
        <v>3</v>
      </c>
      <c r="K2293" t="s">
        <v>3</v>
      </c>
      <c r="L2293" t="s">
        <v>3</v>
      </c>
      <c r="M2293" t="s">
        <v>3</v>
      </c>
      <c r="N2293" s="92" t="s">
        <v>572</v>
      </c>
    </row>
    <row r="2294" spans="2:14" x14ac:dyDescent="0.2">
      <c r="C2294" t="s">
        <v>594</v>
      </c>
      <c r="D2294">
        <v>11.67</v>
      </c>
      <c r="E2294">
        <v>4.0999999999999996</v>
      </c>
      <c r="F2294">
        <v>5.22</v>
      </c>
      <c r="G2294">
        <v>1.1499999999999999</v>
      </c>
      <c r="H2294">
        <v>1.1299999999999999</v>
      </c>
      <c r="I2294">
        <v>1.1299999999999999</v>
      </c>
      <c r="J2294">
        <v>1.1299999999999999</v>
      </c>
      <c r="K2294">
        <v>0.36</v>
      </c>
      <c r="M2294">
        <v>0</v>
      </c>
      <c r="N2294" s="92">
        <v>6.85</v>
      </c>
    </row>
    <row r="2295" spans="2:14" x14ac:dyDescent="0.2">
      <c r="C2295" t="s">
        <v>612</v>
      </c>
      <c r="D2295">
        <v>1.47</v>
      </c>
      <c r="E2295">
        <v>1.1299999999999999</v>
      </c>
      <c r="F2295">
        <v>1.1299999999999999</v>
      </c>
      <c r="G2295">
        <v>1.1299999999999999</v>
      </c>
      <c r="H2295">
        <v>1.1299999999999999</v>
      </c>
      <c r="I2295">
        <v>1.1299999999999999</v>
      </c>
      <c r="J2295">
        <v>1.1299999999999999</v>
      </c>
      <c r="K2295">
        <v>0.36</v>
      </c>
      <c r="L2295" t="s">
        <v>3</v>
      </c>
      <c r="M2295" t="s">
        <v>3</v>
      </c>
      <c r="N2295" s="92">
        <v>1.1299999999999999</v>
      </c>
    </row>
    <row r="2296" spans="2:14" x14ac:dyDescent="0.2">
      <c r="C2296" t="s">
        <v>596</v>
      </c>
      <c r="D2296">
        <v>10.199999999999999</v>
      </c>
      <c r="E2296">
        <v>2.97</v>
      </c>
      <c r="F2296">
        <v>4.0999999999999996</v>
      </c>
      <c r="G2296">
        <v>0.02</v>
      </c>
      <c r="H2296" t="s">
        <v>572</v>
      </c>
      <c r="I2296" t="s">
        <v>3</v>
      </c>
      <c r="J2296" t="s">
        <v>3</v>
      </c>
      <c r="K2296" t="s">
        <v>3</v>
      </c>
      <c r="L2296" t="s">
        <v>3</v>
      </c>
      <c r="M2296">
        <v>0</v>
      </c>
      <c r="N2296" s="92">
        <v>5.72</v>
      </c>
    </row>
    <row r="2297" spans="2:14" x14ac:dyDescent="0.2">
      <c r="C2297" s="14" t="s">
        <v>597</v>
      </c>
      <c r="D2297" s="32">
        <f>D2291-D2294</f>
        <v>-1.5099999999999998</v>
      </c>
      <c r="E2297" s="32">
        <f t="shared" ref="E2297:M2297" si="904">E2291-E2294</f>
        <v>5.26</v>
      </c>
      <c r="F2297" s="32">
        <f t="shared" si="904"/>
        <v>4.1399999999999997</v>
      </c>
      <c r="G2297" s="32">
        <f t="shared" si="904"/>
        <v>4.3100000000000005</v>
      </c>
      <c r="H2297" s="32">
        <f t="shared" si="904"/>
        <v>3.4400000000000004</v>
      </c>
      <c r="I2297" s="32">
        <f t="shared" si="904"/>
        <v>3.4400000000000004</v>
      </c>
      <c r="J2297" s="32">
        <f t="shared" si="904"/>
        <v>0.29000000000000004</v>
      </c>
      <c r="K2297" s="32">
        <f t="shared" si="904"/>
        <v>0.35</v>
      </c>
      <c r="L2297" s="32">
        <f t="shared" si="904"/>
        <v>0</v>
      </c>
      <c r="M2297" s="32">
        <f t="shared" si="904"/>
        <v>0</v>
      </c>
      <c r="N2297" s="95">
        <f>N2291-N2294</f>
        <v>2.91</v>
      </c>
    </row>
    <row r="2298" spans="2:14" x14ac:dyDescent="0.2">
      <c r="C2298" t="s">
        <v>598</v>
      </c>
      <c r="D2298" s="20">
        <f>D2290+D2297</f>
        <v>30.590000000000003</v>
      </c>
      <c r="E2298" s="20">
        <f t="shared" ref="E2298:M2298" si="905">E2290+E2297</f>
        <v>34.630000000000003</v>
      </c>
      <c r="F2298" s="20">
        <f t="shared" si="905"/>
        <v>35.519999999999996</v>
      </c>
      <c r="G2298" s="20">
        <f t="shared" si="905"/>
        <v>35</v>
      </c>
      <c r="H2298" s="20">
        <f t="shared" si="905"/>
        <v>34.550000000000004</v>
      </c>
      <c r="I2298" s="20">
        <f t="shared" si="905"/>
        <v>34.44</v>
      </c>
      <c r="J2298" s="20">
        <f t="shared" si="905"/>
        <v>34.67</v>
      </c>
      <c r="K2298" s="20">
        <f t="shared" si="905"/>
        <v>35.28</v>
      </c>
      <c r="L2298" s="20">
        <f t="shared" si="905"/>
        <v>35.900000000000006</v>
      </c>
      <c r="M2298" s="20">
        <f t="shared" si="905"/>
        <v>36.550000000000004</v>
      </c>
      <c r="N2298" s="94">
        <f>N2290+N2297</f>
        <v>33.32</v>
      </c>
    </row>
    <row r="2299" spans="2:14" x14ac:dyDescent="0.2">
      <c r="N2299" s="92"/>
    </row>
    <row r="2300" spans="2:14" x14ac:dyDescent="0.2">
      <c r="C2300" t="s">
        <v>599</v>
      </c>
      <c r="D2300">
        <v>32.950000000000003</v>
      </c>
      <c r="E2300">
        <v>36.770000000000003</v>
      </c>
      <c r="F2300">
        <v>38.770000000000003</v>
      </c>
      <c r="G2300">
        <v>40.25</v>
      </c>
      <c r="H2300">
        <v>39.799999999999997</v>
      </c>
      <c r="I2300">
        <v>39.68</v>
      </c>
      <c r="J2300">
        <v>39.909999999999997</v>
      </c>
      <c r="K2300">
        <v>39.76</v>
      </c>
      <c r="L2300">
        <v>40.03</v>
      </c>
      <c r="M2300">
        <v>40.67</v>
      </c>
      <c r="N2300" s="92">
        <v>35.33</v>
      </c>
    </row>
    <row r="2301" spans="2:14" x14ac:dyDescent="0.2">
      <c r="N2301" s="92"/>
    </row>
    <row r="2302" spans="2:14" x14ac:dyDescent="0.2">
      <c r="N2302" s="92"/>
    </row>
    <row r="2303" spans="2:14" s="2" customFormat="1" ht="15" x14ac:dyDescent="0.25">
      <c r="B2303" s="2" t="s">
        <v>659</v>
      </c>
      <c r="C2303" s="9"/>
      <c r="N2303" s="96"/>
    </row>
    <row r="2304" spans="2:14" s="2" customFormat="1" ht="15" x14ac:dyDescent="0.25">
      <c r="B2304" s="2" t="s">
        <v>614</v>
      </c>
      <c r="N2304" s="96"/>
    </row>
    <row r="2305" spans="2:14" s="2" customFormat="1" ht="15" x14ac:dyDescent="0.25">
      <c r="B2305" s="13" t="s">
        <v>615</v>
      </c>
      <c r="D2305" s="2">
        <v>2000</v>
      </c>
      <c r="E2305" s="2">
        <v>2010</v>
      </c>
      <c r="F2305" s="2">
        <v>2015</v>
      </c>
      <c r="G2305" s="2">
        <v>2020</v>
      </c>
      <c r="H2305" s="2">
        <v>2025</v>
      </c>
      <c r="I2305" s="2">
        <v>2030</v>
      </c>
      <c r="J2305" s="2">
        <v>2035</v>
      </c>
      <c r="K2305" s="2">
        <v>2040</v>
      </c>
      <c r="L2305" s="2">
        <v>2045</v>
      </c>
      <c r="M2305" s="2">
        <v>2050</v>
      </c>
      <c r="N2305" s="96">
        <v>2005</v>
      </c>
    </row>
    <row r="2306" spans="2:14" x14ac:dyDescent="0.2">
      <c r="C2306" t="s">
        <v>568</v>
      </c>
      <c r="D2306">
        <v>20.67</v>
      </c>
      <c r="E2306">
        <v>21.26</v>
      </c>
      <c r="F2306">
        <v>21.92</v>
      </c>
      <c r="G2306">
        <v>22.98</v>
      </c>
      <c r="H2306">
        <v>23.05</v>
      </c>
      <c r="I2306">
        <v>23.08</v>
      </c>
      <c r="J2306">
        <v>23.13</v>
      </c>
      <c r="K2306">
        <v>23.22</v>
      </c>
      <c r="L2306">
        <v>23.28</v>
      </c>
      <c r="M2306">
        <v>23.29</v>
      </c>
      <c r="N2306" s="92">
        <v>18.78</v>
      </c>
    </row>
    <row r="2307" spans="2:14" x14ac:dyDescent="0.2">
      <c r="C2307" t="s">
        <v>633</v>
      </c>
      <c r="D2307">
        <v>20.67</v>
      </c>
      <c r="E2307">
        <v>21.26</v>
      </c>
      <c r="F2307">
        <v>21</v>
      </c>
      <c r="G2307">
        <v>20.78</v>
      </c>
      <c r="H2307">
        <v>20.58</v>
      </c>
      <c r="I2307">
        <v>20.37</v>
      </c>
      <c r="J2307">
        <v>20.07</v>
      </c>
      <c r="K2307">
        <v>19.82</v>
      </c>
      <c r="L2307">
        <v>19.32</v>
      </c>
      <c r="M2307">
        <v>18.95</v>
      </c>
      <c r="N2307" s="92">
        <v>18.78</v>
      </c>
    </row>
    <row r="2308" spans="2:14" x14ac:dyDescent="0.2">
      <c r="C2308" t="s">
        <v>603</v>
      </c>
      <c r="D2308" t="s">
        <v>572</v>
      </c>
      <c r="E2308" t="s">
        <v>572</v>
      </c>
      <c r="F2308">
        <v>0.91</v>
      </c>
      <c r="G2308">
        <v>2.19</v>
      </c>
      <c r="H2308">
        <v>2.4700000000000002</v>
      </c>
      <c r="I2308">
        <v>2.71</v>
      </c>
      <c r="J2308">
        <v>3.06</v>
      </c>
      <c r="K2308">
        <v>3.4</v>
      </c>
      <c r="L2308">
        <v>3.97</v>
      </c>
      <c r="M2308">
        <v>4.34</v>
      </c>
      <c r="N2308" s="92" t="s">
        <v>572</v>
      </c>
    </row>
    <row r="2309" spans="2:14" x14ac:dyDescent="0.2">
      <c r="C2309" t="s">
        <v>571</v>
      </c>
      <c r="D2309">
        <v>11.01</v>
      </c>
      <c r="E2309">
        <v>10.96</v>
      </c>
      <c r="F2309">
        <v>11.08</v>
      </c>
      <c r="G2309">
        <v>9.77</v>
      </c>
      <c r="H2309">
        <v>7.21</v>
      </c>
      <c r="I2309">
        <v>3.97</v>
      </c>
      <c r="J2309">
        <v>0</v>
      </c>
      <c r="K2309">
        <v>0</v>
      </c>
      <c r="L2309">
        <v>0</v>
      </c>
      <c r="M2309">
        <v>0</v>
      </c>
      <c r="N2309" s="92">
        <v>7.97</v>
      </c>
    </row>
    <row r="2310" spans="2:14" x14ac:dyDescent="0.2">
      <c r="C2310" t="s">
        <v>604</v>
      </c>
      <c r="D2310">
        <v>0.67</v>
      </c>
      <c r="E2310">
        <v>0.88</v>
      </c>
      <c r="F2310">
        <v>1.07</v>
      </c>
      <c r="G2310">
        <v>1.23</v>
      </c>
      <c r="H2310">
        <v>1.3</v>
      </c>
      <c r="I2310">
        <v>1.38</v>
      </c>
      <c r="J2310">
        <v>2.19</v>
      </c>
      <c r="K2310">
        <v>1.31</v>
      </c>
      <c r="L2310">
        <v>1.31</v>
      </c>
      <c r="M2310">
        <v>1.31</v>
      </c>
      <c r="N2310" s="92">
        <v>0.82</v>
      </c>
    </row>
    <row r="2311" spans="2:14" x14ac:dyDescent="0.2">
      <c r="C2311" t="s">
        <v>605</v>
      </c>
      <c r="D2311">
        <v>0.67</v>
      </c>
      <c r="E2311">
        <v>0.88</v>
      </c>
      <c r="F2311">
        <v>0.71</v>
      </c>
      <c r="G2311">
        <v>0.62</v>
      </c>
      <c r="H2311">
        <v>0.38</v>
      </c>
      <c r="I2311">
        <v>0.24</v>
      </c>
      <c r="J2311">
        <v>0.14000000000000001</v>
      </c>
      <c r="K2311" t="s">
        <v>572</v>
      </c>
      <c r="L2311" t="s">
        <v>3</v>
      </c>
      <c r="M2311" t="s">
        <v>3</v>
      </c>
      <c r="N2311" s="92">
        <v>0.82</v>
      </c>
    </row>
    <row r="2312" spans="2:14" x14ac:dyDescent="0.2">
      <c r="C2312" t="s">
        <v>606</v>
      </c>
      <c r="D2312" t="s">
        <v>3</v>
      </c>
      <c r="E2312" t="s">
        <v>3</v>
      </c>
      <c r="F2312" t="s">
        <v>3</v>
      </c>
      <c r="G2312" t="s">
        <v>3</v>
      </c>
      <c r="H2312" t="s">
        <v>3</v>
      </c>
      <c r="I2312" t="s">
        <v>3</v>
      </c>
      <c r="J2312">
        <v>0.82</v>
      </c>
      <c r="K2312" t="s">
        <v>572</v>
      </c>
      <c r="L2312" t="s">
        <v>3</v>
      </c>
      <c r="M2312" t="s">
        <v>3</v>
      </c>
      <c r="N2312" s="92" t="s">
        <v>3</v>
      </c>
    </row>
    <row r="2313" spans="2:14" x14ac:dyDescent="0.2">
      <c r="C2313" t="s">
        <v>607</v>
      </c>
      <c r="D2313" t="s">
        <v>3</v>
      </c>
      <c r="E2313" t="s">
        <v>3</v>
      </c>
      <c r="F2313">
        <v>0.36</v>
      </c>
      <c r="G2313">
        <v>0.61</v>
      </c>
      <c r="H2313">
        <v>0.92</v>
      </c>
      <c r="I2313">
        <v>1.1499999999999999</v>
      </c>
      <c r="J2313">
        <v>1.23</v>
      </c>
      <c r="K2313">
        <v>1.31</v>
      </c>
      <c r="L2313">
        <v>1.31</v>
      </c>
      <c r="M2313">
        <v>1.31</v>
      </c>
      <c r="N2313" s="92" t="s">
        <v>3</v>
      </c>
    </row>
    <row r="2314" spans="2:14" x14ac:dyDescent="0.2">
      <c r="C2314" t="s">
        <v>608</v>
      </c>
      <c r="D2314">
        <v>0.36</v>
      </c>
      <c r="E2314">
        <v>0.62</v>
      </c>
      <c r="F2314">
        <v>1.07</v>
      </c>
      <c r="G2314">
        <v>1.66</v>
      </c>
      <c r="H2314">
        <v>2.6</v>
      </c>
      <c r="I2314">
        <v>3.96</v>
      </c>
      <c r="J2314">
        <v>6.34</v>
      </c>
      <c r="K2314">
        <v>8.8800000000000008</v>
      </c>
      <c r="L2314">
        <v>11.58</v>
      </c>
      <c r="M2314">
        <v>13.75</v>
      </c>
      <c r="N2314" s="92">
        <v>0.45</v>
      </c>
    </row>
    <row r="2315" spans="2:14" x14ac:dyDescent="0.2">
      <c r="C2315" t="s">
        <v>609</v>
      </c>
      <c r="D2315">
        <v>0.36</v>
      </c>
      <c r="E2315">
        <v>0.62</v>
      </c>
      <c r="F2315">
        <v>0.47</v>
      </c>
      <c r="G2315">
        <v>0.42</v>
      </c>
      <c r="H2315">
        <v>0.32</v>
      </c>
      <c r="I2315">
        <v>0.19</v>
      </c>
      <c r="J2315">
        <v>0.04</v>
      </c>
      <c r="K2315">
        <v>0</v>
      </c>
      <c r="L2315" t="s">
        <v>3</v>
      </c>
      <c r="M2315" t="s">
        <v>3</v>
      </c>
      <c r="N2315" s="92">
        <v>0.45</v>
      </c>
    </row>
    <row r="2316" spans="2:14" x14ac:dyDescent="0.2">
      <c r="C2316" t="s">
        <v>610</v>
      </c>
      <c r="D2316" t="s">
        <v>572</v>
      </c>
      <c r="E2316" t="s">
        <v>3</v>
      </c>
      <c r="F2316">
        <v>0.6</v>
      </c>
      <c r="G2316">
        <v>1.25</v>
      </c>
      <c r="H2316">
        <v>2.2799999999999998</v>
      </c>
      <c r="I2316">
        <v>3.77</v>
      </c>
      <c r="J2316">
        <v>6.3</v>
      </c>
      <c r="K2316">
        <v>8.8800000000000008</v>
      </c>
      <c r="L2316">
        <v>11.58</v>
      </c>
      <c r="M2316">
        <v>13.75</v>
      </c>
      <c r="N2316" s="92" t="s">
        <v>3</v>
      </c>
    </row>
    <row r="2317" spans="2:14" x14ac:dyDescent="0.2">
      <c r="C2317" t="s">
        <v>580</v>
      </c>
      <c r="D2317">
        <v>0.01</v>
      </c>
      <c r="E2317">
        <v>0.06</v>
      </c>
      <c r="F2317">
        <v>0.21</v>
      </c>
      <c r="G2317">
        <v>0.38</v>
      </c>
      <c r="H2317">
        <v>0.71</v>
      </c>
      <c r="I2317">
        <v>1.39</v>
      </c>
      <c r="J2317">
        <v>3.24</v>
      </c>
      <c r="K2317">
        <v>4.92</v>
      </c>
      <c r="L2317">
        <v>6.74</v>
      </c>
      <c r="M2317">
        <v>8.1199999999999992</v>
      </c>
      <c r="N2317" s="92">
        <v>0.01</v>
      </c>
    </row>
    <row r="2318" spans="2:14" x14ac:dyDescent="0.2">
      <c r="C2318" t="s">
        <v>581</v>
      </c>
      <c r="D2318">
        <v>0</v>
      </c>
      <c r="E2318">
        <v>0.01</v>
      </c>
      <c r="F2318">
        <v>0.14000000000000001</v>
      </c>
      <c r="G2318">
        <v>0.26</v>
      </c>
      <c r="H2318">
        <v>0.39</v>
      </c>
      <c r="I2318">
        <v>0.57999999999999996</v>
      </c>
      <c r="J2318">
        <v>0.7</v>
      </c>
      <c r="K2318">
        <v>1.04</v>
      </c>
      <c r="L2318">
        <v>1.37</v>
      </c>
      <c r="M2318">
        <v>1.7</v>
      </c>
      <c r="N2318" s="92">
        <v>0</v>
      </c>
    </row>
    <row r="2319" spans="2:14" x14ac:dyDescent="0.2">
      <c r="C2319" t="s">
        <v>582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 s="92">
        <v>0</v>
      </c>
    </row>
    <row r="2320" spans="2:14" x14ac:dyDescent="0.2">
      <c r="C2320" t="s">
        <v>47</v>
      </c>
      <c r="D2320" t="s">
        <v>3</v>
      </c>
      <c r="E2320" t="s">
        <v>3</v>
      </c>
      <c r="F2320">
        <v>0.05</v>
      </c>
      <c r="G2320">
        <v>0.1</v>
      </c>
      <c r="H2320">
        <v>0.2</v>
      </c>
      <c r="I2320">
        <v>0.39</v>
      </c>
      <c r="J2320">
        <v>0.72</v>
      </c>
      <c r="K2320">
        <v>1.2</v>
      </c>
      <c r="L2320">
        <v>1.74</v>
      </c>
      <c r="M2320">
        <v>2.19</v>
      </c>
      <c r="N2320" s="92" t="s">
        <v>3</v>
      </c>
    </row>
    <row r="2321" spans="3:14" x14ac:dyDescent="0.2">
      <c r="C2321" t="s">
        <v>583</v>
      </c>
      <c r="D2321">
        <v>0.01</v>
      </c>
      <c r="E2321">
        <v>0.04</v>
      </c>
      <c r="F2321">
        <v>0.1</v>
      </c>
      <c r="G2321">
        <v>0.19</v>
      </c>
      <c r="H2321">
        <v>0.31</v>
      </c>
      <c r="I2321">
        <v>0.39</v>
      </c>
      <c r="J2321">
        <v>0.4</v>
      </c>
      <c r="K2321">
        <v>0.4</v>
      </c>
      <c r="L2321">
        <v>0.4</v>
      </c>
      <c r="M2321">
        <v>0.41</v>
      </c>
      <c r="N2321" s="92">
        <v>0.01</v>
      </c>
    </row>
    <row r="2322" spans="3:14" x14ac:dyDescent="0.2">
      <c r="C2322" t="s">
        <v>584</v>
      </c>
      <c r="D2322">
        <v>0</v>
      </c>
      <c r="E2322">
        <v>0.03</v>
      </c>
      <c r="F2322">
        <v>0.08</v>
      </c>
      <c r="G2322">
        <v>0.18</v>
      </c>
      <c r="H2322">
        <v>0.34</v>
      </c>
      <c r="I2322">
        <v>0.5</v>
      </c>
      <c r="J2322">
        <v>0.56999999999999995</v>
      </c>
      <c r="K2322">
        <v>0.6</v>
      </c>
      <c r="L2322">
        <v>0.61</v>
      </c>
      <c r="M2322">
        <v>0.61</v>
      </c>
      <c r="N2322" s="92">
        <v>0.01</v>
      </c>
    </row>
    <row r="2323" spans="3:14" x14ac:dyDescent="0.2">
      <c r="C2323" t="s">
        <v>585</v>
      </c>
      <c r="D2323">
        <v>0.04</v>
      </c>
      <c r="E2323">
        <v>0.05</v>
      </c>
      <c r="F2323">
        <v>0.04</v>
      </c>
      <c r="G2323">
        <v>7.0000000000000007E-2</v>
      </c>
      <c r="H2323">
        <v>0.09</v>
      </c>
      <c r="I2323">
        <v>0.11</v>
      </c>
      <c r="J2323">
        <v>0.12</v>
      </c>
      <c r="K2323">
        <v>0.12</v>
      </c>
      <c r="L2323">
        <v>0.12</v>
      </c>
      <c r="M2323">
        <v>0.12</v>
      </c>
      <c r="N2323" s="92">
        <v>0.04</v>
      </c>
    </row>
    <row r="2324" spans="3:14" x14ac:dyDescent="0.2">
      <c r="C2324" t="s">
        <v>586</v>
      </c>
      <c r="D2324">
        <v>0.28999999999999998</v>
      </c>
      <c r="E2324">
        <v>0.41</v>
      </c>
      <c r="F2324">
        <v>0.45</v>
      </c>
      <c r="G2324">
        <v>0.49</v>
      </c>
      <c r="H2324">
        <v>0.56000000000000005</v>
      </c>
      <c r="I2324">
        <v>0.59</v>
      </c>
      <c r="J2324">
        <v>0.6</v>
      </c>
      <c r="K2324">
        <v>0.6</v>
      </c>
      <c r="L2324">
        <v>0.6</v>
      </c>
      <c r="M2324">
        <v>0.6</v>
      </c>
      <c r="N2324" s="92">
        <v>0.36</v>
      </c>
    </row>
    <row r="2325" spans="3:14" x14ac:dyDescent="0.2">
      <c r="C2325" t="s">
        <v>587</v>
      </c>
      <c r="D2325">
        <v>0.02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 s="92">
        <v>0.01</v>
      </c>
    </row>
    <row r="2326" spans="3:14" x14ac:dyDescent="0.2">
      <c r="C2326" t="s">
        <v>588</v>
      </c>
      <c r="D2326" s="20">
        <f t="shared" ref="D2326:I2326" si="906">D2306+D2309+D2310+D2314</f>
        <v>32.71</v>
      </c>
      <c r="E2326" s="20">
        <f t="shared" si="906"/>
        <v>33.72</v>
      </c>
      <c r="F2326" s="20">
        <f t="shared" si="906"/>
        <v>35.14</v>
      </c>
      <c r="G2326" s="20">
        <f t="shared" si="906"/>
        <v>35.639999999999993</v>
      </c>
      <c r="H2326" s="20">
        <f t="shared" si="906"/>
        <v>34.160000000000004</v>
      </c>
      <c r="I2326" s="20">
        <f t="shared" si="906"/>
        <v>32.389999999999993</v>
      </c>
      <c r="J2326" s="20">
        <f>J2306+J2310+J2314</f>
        <v>31.66</v>
      </c>
      <c r="K2326" s="20">
        <f>K2306+K2310+K2314</f>
        <v>33.409999999999997</v>
      </c>
      <c r="L2326" s="20">
        <f>L2306+L2310+L2314</f>
        <v>36.17</v>
      </c>
      <c r="M2326" s="20">
        <f>M2306+M2310+M2314</f>
        <v>38.349999999999994</v>
      </c>
      <c r="N2326" s="94">
        <f>N2306+N2309+N2310+N2314</f>
        <v>28.02</v>
      </c>
    </row>
    <row r="2327" spans="3:14" x14ac:dyDescent="0.2">
      <c r="C2327" t="s">
        <v>589</v>
      </c>
      <c r="D2327">
        <v>-1.33</v>
      </c>
      <c r="E2327">
        <v>-1.53</v>
      </c>
      <c r="F2327">
        <v>-2.21</v>
      </c>
      <c r="G2327">
        <v>-3.42</v>
      </c>
      <c r="H2327">
        <v>-3.42</v>
      </c>
      <c r="I2327">
        <v>-3.42</v>
      </c>
      <c r="J2327">
        <v>-3.42</v>
      </c>
      <c r="K2327">
        <v>-3.42</v>
      </c>
      <c r="L2327">
        <v>-3.42</v>
      </c>
      <c r="M2327">
        <v>-3.42</v>
      </c>
      <c r="N2327" s="92">
        <v>-1.33</v>
      </c>
    </row>
    <row r="2328" spans="3:14" x14ac:dyDescent="0.2">
      <c r="C2328" s="14" t="s">
        <v>590</v>
      </c>
      <c r="D2328" s="32">
        <f>D2326+D2327</f>
        <v>31.380000000000003</v>
      </c>
      <c r="E2328" s="32">
        <f t="shared" ref="E2328:M2328" si="907">E2326+E2327</f>
        <v>32.19</v>
      </c>
      <c r="F2328" s="32">
        <f t="shared" si="907"/>
        <v>32.93</v>
      </c>
      <c r="G2328" s="32">
        <f t="shared" si="907"/>
        <v>32.219999999999992</v>
      </c>
      <c r="H2328" s="32">
        <f t="shared" si="907"/>
        <v>30.740000000000002</v>
      </c>
      <c r="I2328" s="32">
        <f t="shared" si="907"/>
        <v>28.969999999999992</v>
      </c>
      <c r="J2328" s="32">
        <f t="shared" si="907"/>
        <v>28.240000000000002</v>
      </c>
      <c r="K2328" s="32">
        <f t="shared" si="907"/>
        <v>29.989999999999995</v>
      </c>
      <c r="L2328" s="32">
        <f t="shared" si="907"/>
        <v>32.75</v>
      </c>
      <c r="M2328" s="32">
        <f t="shared" si="907"/>
        <v>34.929999999999993</v>
      </c>
      <c r="N2328" s="95">
        <f>N2326+N2327</f>
        <v>26.689999999999998</v>
      </c>
    </row>
    <row r="2329" spans="3:14" x14ac:dyDescent="0.2">
      <c r="C2329" t="s">
        <v>591</v>
      </c>
      <c r="D2329">
        <v>8.56</v>
      </c>
      <c r="E2329">
        <v>7.88</v>
      </c>
      <c r="F2329">
        <v>7.88</v>
      </c>
      <c r="G2329">
        <v>4.5999999999999996</v>
      </c>
      <c r="H2329">
        <v>3.85</v>
      </c>
      <c r="I2329">
        <v>3.85</v>
      </c>
      <c r="J2329">
        <v>1.19</v>
      </c>
      <c r="K2329">
        <v>0.6</v>
      </c>
      <c r="N2329" s="92">
        <v>8.2200000000000006</v>
      </c>
    </row>
    <row r="2330" spans="3:14" x14ac:dyDescent="0.2">
      <c r="C2330" t="s">
        <v>592</v>
      </c>
      <c r="D2330">
        <v>8.56</v>
      </c>
      <c r="E2330">
        <v>7.88</v>
      </c>
      <c r="F2330">
        <v>7.88</v>
      </c>
      <c r="G2330">
        <v>4.5999999999999996</v>
      </c>
      <c r="H2330">
        <v>3.85</v>
      </c>
      <c r="I2330">
        <v>3.85</v>
      </c>
      <c r="J2330">
        <v>1.19</v>
      </c>
      <c r="K2330">
        <v>0.6</v>
      </c>
      <c r="L2330" t="s">
        <v>572</v>
      </c>
      <c r="M2330" t="s">
        <v>3</v>
      </c>
      <c r="N2330" s="92">
        <v>8.2200000000000006</v>
      </c>
    </row>
    <row r="2331" spans="3:14" x14ac:dyDescent="0.2">
      <c r="C2331" t="s">
        <v>593</v>
      </c>
      <c r="D2331" t="s">
        <v>3</v>
      </c>
      <c r="E2331" t="s">
        <v>572</v>
      </c>
      <c r="F2331" t="s">
        <v>3</v>
      </c>
      <c r="G2331" t="s">
        <v>3</v>
      </c>
      <c r="H2331" t="s">
        <v>3</v>
      </c>
      <c r="I2331" t="s">
        <v>3</v>
      </c>
      <c r="J2331" t="s">
        <v>3</v>
      </c>
      <c r="K2331" t="s">
        <v>3</v>
      </c>
      <c r="L2331" t="s">
        <v>3</v>
      </c>
      <c r="M2331" t="s">
        <v>3</v>
      </c>
      <c r="N2331" s="92" t="s">
        <v>572</v>
      </c>
    </row>
    <row r="2332" spans="3:14" x14ac:dyDescent="0.2">
      <c r="C2332" t="s">
        <v>594</v>
      </c>
      <c r="D2332">
        <v>14.39</v>
      </c>
      <c r="E2332">
        <v>11.09</v>
      </c>
      <c r="F2332">
        <v>11.24</v>
      </c>
      <c r="G2332">
        <v>7.82</v>
      </c>
      <c r="H2332">
        <v>6.1</v>
      </c>
      <c r="I2332">
        <v>4.58</v>
      </c>
      <c r="J2332">
        <v>1.1399999999999999</v>
      </c>
      <c r="K2332">
        <v>1.93</v>
      </c>
      <c r="L2332">
        <v>3.73</v>
      </c>
      <c r="M2332">
        <v>5.53</v>
      </c>
      <c r="N2332" s="92">
        <v>6.9</v>
      </c>
    </row>
    <row r="2333" spans="3:14" x14ac:dyDescent="0.2">
      <c r="C2333" t="s">
        <v>612</v>
      </c>
      <c r="D2333">
        <v>1.35</v>
      </c>
      <c r="E2333">
        <v>1.1399999999999999</v>
      </c>
      <c r="F2333">
        <v>1.1399999999999999</v>
      </c>
      <c r="G2333">
        <v>1.1399999999999999</v>
      </c>
      <c r="H2333">
        <v>1.1399999999999999</v>
      </c>
      <c r="I2333">
        <v>1.1399999999999999</v>
      </c>
      <c r="J2333">
        <v>1.1399999999999999</v>
      </c>
      <c r="K2333">
        <v>0.3</v>
      </c>
      <c r="L2333" t="s">
        <v>572</v>
      </c>
      <c r="M2333" t="s">
        <v>3</v>
      </c>
      <c r="N2333" s="92">
        <v>1.1399999999999999</v>
      </c>
    </row>
    <row r="2334" spans="3:14" x14ac:dyDescent="0.2">
      <c r="C2334" t="s">
        <v>596</v>
      </c>
      <c r="D2334">
        <v>13.04</v>
      </c>
      <c r="E2334">
        <v>9.9600000000000009</v>
      </c>
      <c r="F2334">
        <v>10.1</v>
      </c>
      <c r="G2334">
        <v>6.69</v>
      </c>
      <c r="H2334">
        <v>4.96</v>
      </c>
      <c r="I2334">
        <v>3.44</v>
      </c>
      <c r="J2334" t="s">
        <v>572</v>
      </c>
      <c r="K2334">
        <v>1.63</v>
      </c>
      <c r="L2334">
        <v>3.73</v>
      </c>
      <c r="M2334">
        <v>5.53</v>
      </c>
      <c r="N2334" s="92">
        <v>5.76</v>
      </c>
    </row>
    <row r="2335" spans="3:14" x14ac:dyDescent="0.2">
      <c r="C2335" s="14" t="s">
        <v>597</v>
      </c>
      <c r="D2335" s="32">
        <f>D2329-D2332</f>
        <v>-5.83</v>
      </c>
      <c r="E2335" s="32">
        <f t="shared" ref="E2335:M2335" si="908">E2329-E2332</f>
        <v>-3.21</v>
      </c>
      <c r="F2335" s="32">
        <f t="shared" si="908"/>
        <v>-3.3600000000000003</v>
      </c>
      <c r="G2335" s="32">
        <f t="shared" si="908"/>
        <v>-3.2200000000000006</v>
      </c>
      <c r="H2335" s="32">
        <f t="shared" si="908"/>
        <v>-2.2499999999999996</v>
      </c>
      <c r="I2335" s="32">
        <f t="shared" si="908"/>
        <v>-0.73</v>
      </c>
      <c r="J2335" s="32">
        <f t="shared" si="908"/>
        <v>5.0000000000000044E-2</v>
      </c>
      <c r="K2335" s="32">
        <f t="shared" si="908"/>
        <v>-1.33</v>
      </c>
      <c r="L2335" s="32">
        <f t="shared" si="908"/>
        <v>-3.73</v>
      </c>
      <c r="M2335" s="32">
        <f t="shared" si="908"/>
        <v>-5.53</v>
      </c>
      <c r="N2335" s="95">
        <f>N2329-N2332</f>
        <v>1.3200000000000003</v>
      </c>
    </row>
    <row r="2336" spans="3:14" x14ac:dyDescent="0.2">
      <c r="C2336" t="s">
        <v>598</v>
      </c>
      <c r="D2336" s="20">
        <f>D2328+D2335</f>
        <v>25.550000000000004</v>
      </c>
      <c r="E2336" s="20">
        <f t="shared" ref="E2336:M2336" si="909">E2328+E2335</f>
        <v>28.979999999999997</v>
      </c>
      <c r="F2336" s="20">
        <f t="shared" si="909"/>
        <v>29.57</v>
      </c>
      <c r="G2336" s="20">
        <f t="shared" si="909"/>
        <v>28.999999999999993</v>
      </c>
      <c r="H2336" s="20">
        <f t="shared" si="909"/>
        <v>28.490000000000002</v>
      </c>
      <c r="I2336" s="20">
        <f t="shared" si="909"/>
        <v>28.239999999999991</v>
      </c>
      <c r="J2336" s="20">
        <f t="shared" si="909"/>
        <v>28.290000000000003</v>
      </c>
      <c r="K2336" s="20">
        <f t="shared" si="909"/>
        <v>28.659999999999997</v>
      </c>
      <c r="L2336" s="20">
        <f t="shared" si="909"/>
        <v>29.02</v>
      </c>
      <c r="M2336" s="20">
        <f t="shared" si="909"/>
        <v>29.399999999999991</v>
      </c>
      <c r="N2336" s="94">
        <f>N2328+N2335</f>
        <v>28.009999999999998</v>
      </c>
    </row>
    <row r="2337" spans="2:14" x14ac:dyDescent="0.2">
      <c r="N2337" s="92"/>
    </row>
    <row r="2338" spans="2:14" x14ac:dyDescent="0.2">
      <c r="C2338" t="s">
        <v>599</v>
      </c>
      <c r="D2338">
        <v>28.23</v>
      </c>
      <c r="E2338">
        <v>31.64</v>
      </c>
      <c r="F2338">
        <v>32.909999999999997</v>
      </c>
      <c r="G2338">
        <v>33.56</v>
      </c>
      <c r="H2338">
        <v>33.04</v>
      </c>
      <c r="I2338">
        <v>32.799999999999997</v>
      </c>
      <c r="J2338">
        <v>32.86</v>
      </c>
      <c r="K2338">
        <v>32.369999999999997</v>
      </c>
      <c r="L2338">
        <v>32.450000000000003</v>
      </c>
      <c r="M2338">
        <v>32.82</v>
      </c>
      <c r="N2338" s="92">
        <v>30.48</v>
      </c>
    </row>
    <row r="2339" spans="2:14" x14ac:dyDescent="0.2">
      <c r="N2339" s="92"/>
    </row>
    <row r="2340" spans="2:14" x14ac:dyDescent="0.2">
      <c r="N2340" s="92"/>
    </row>
    <row r="2341" spans="2:14" s="2" customFormat="1" ht="15" x14ac:dyDescent="0.25">
      <c r="B2341" s="2" t="s">
        <v>664</v>
      </c>
      <c r="C2341" s="9"/>
      <c r="N2341" s="96"/>
    </row>
    <row r="2342" spans="2:14" s="2" customFormat="1" ht="15" x14ac:dyDescent="0.25">
      <c r="B2342" s="2" t="s">
        <v>631</v>
      </c>
      <c r="N2342" s="96"/>
    </row>
    <row r="2343" spans="2:14" s="2" customFormat="1" ht="15" x14ac:dyDescent="0.25">
      <c r="B2343" s="13" t="s">
        <v>567</v>
      </c>
      <c r="D2343" s="2">
        <v>2000</v>
      </c>
      <c r="E2343" s="2">
        <v>2010</v>
      </c>
      <c r="F2343" s="2">
        <v>2015</v>
      </c>
      <c r="G2343" s="2">
        <v>2020</v>
      </c>
      <c r="H2343" s="2">
        <v>2025</v>
      </c>
      <c r="I2343" s="2">
        <v>2030</v>
      </c>
      <c r="J2343" s="2">
        <v>2035</v>
      </c>
      <c r="K2343" s="2">
        <v>2040</v>
      </c>
      <c r="L2343" s="2">
        <v>2045</v>
      </c>
      <c r="M2343" s="2">
        <v>2050</v>
      </c>
      <c r="N2343" s="96">
        <v>2005</v>
      </c>
    </row>
    <row r="2344" spans="2:14" x14ac:dyDescent="0.2">
      <c r="C2344" t="s">
        <v>568</v>
      </c>
      <c r="D2344">
        <v>38.380000000000003</v>
      </c>
      <c r="E2344">
        <v>35.42</v>
      </c>
      <c r="F2344">
        <v>39</v>
      </c>
      <c r="G2344">
        <v>41.96</v>
      </c>
      <c r="H2344">
        <v>42.35</v>
      </c>
      <c r="I2344">
        <v>42.67</v>
      </c>
      <c r="J2344">
        <v>43.02</v>
      </c>
      <c r="K2344">
        <v>43.44</v>
      </c>
      <c r="L2344">
        <v>43.82</v>
      </c>
      <c r="M2344">
        <v>44.15</v>
      </c>
      <c r="N2344" s="92">
        <v>34.340000000000003</v>
      </c>
    </row>
    <row r="2345" spans="2:14" x14ac:dyDescent="0.2">
      <c r="C2345" t="s">
        <v>633</v>
      </c>
      <c r="D2345">
        <v>38.380000000000003</v>
      </c>
      <c r="E2345">
        <v>35.42</v>
      </c>
      <c r="F2345">
        <v>36.950000000000003</v>
      </c>
      <c r="G2345">
        <v>36.869999999999997</v>
      </c>
      <c r="H2345">
        <v>36.83</v>
      </c>
      <c r="I2345">
        <v>36.75</v>
      </c>
      <c r="J2345">
        <v>36.54</v>
      </c>
      <c r="K2345">
        <v>36.409999999999997</v>
      </c>
      <c r="L2345">
        <v>35.85</v>
      </c>
      <c r="M2345">
        <v>35.57</v>
      </c>
      <c r="N2345" s="92">
        <v>34.340000000000003</v>
      </c>
    </row>
    <row r="2346" spans="2:14" x14ac:dyDescent="0.2">
      <c r="C2346" t="s">
        <v>603</v>
      </c>
      <c r="D2346" t="s">
        <v>3</v>
      </c>
      <c r="E2346" t="s">
        <v>3</v>
      </c>
      <c r="F2346">
        <v>2.0499999999999998</v>
      </c>
      <c r="G2346">
        <v>5.09</v>
      </c>
      <c r="H2346">
        <v>5.52</v>
      </c>
      <c r="I2346">
        <v>5.91</v>
      </c>
      <c r="J2346">
        <v>6.48</v>
      </c>
      <c r="K2346">
        <v>7.02</v>
      </c>
      <c r="L2346">
        <v>7.96</v>
      </c>
      <c r="M2346">
        <v>8.57</v>
      </c>
      <c r="N2346" s="92" t="s">
        <v>3</v>
      </c>
    </row>
    <row r="2347" spans="2:14" x14ac:dyDescent="0.2">
      <c r="C2347" t="s">
        <v>571</v>
      </c>
      <c r="D2347">
        <v>24.73</v>
      </c>
      <c r="E2347">
        <v>25.13</v>
      </c>
      <c r="F2347">
        <v>24.58</v>
      </c>
      <c r="G2347">
        <v>21.68</v>
      </c>
      <c r="H2347">
        <v>15.98</v>
      </c>
      <c r="I2347">
        <v>8.81</v>
      </c>
      <c r="J2347">
        <v>0</v>
      </c>
      <c r="K2347">
        <v>0</v>
      </c>
      <c r="L2347">
        <v>0</v>
      </c>
      <c r="M2347">
        <v>0</v>
      </c>
      <c r="N2347" s="92">
        <v>21.9</v>
      </c>
    </row>
    <row r="2348" spans="2:14" x14ac:dyDescent="0.2">
      <c r="C2348" t="s">
        <v>604</v>
      </c>
      <c r="D2348">
        <v>1.79</v>
      </c>
      <c r="E2348">
        <v>2.1800000000000002</v>
      </c>
      <c r="F2348">
        <v>2.7</v>
      </c>
      <c r="G2348">
        <v>3.13</v>
      </c>
      <c r="H2348">
        <v>3.38</v>
      </c>
      <c r="I2348">
        <v>3.62</v>
      </c>
      <c r="J2348">
        <v>3.58</v>
      </c>
      <c r="K2348">
        <v>3.44</v>
      </c>
      <c r="L2348">
        <v>3.45</v>
      </c>
      <c r="M2348">
        <v>3.45</v>
      </c>
      <c r="N2348" s="92">
        <v>2.0699999999999998</v>
      </c>
    </row>
    <row r="2349" spans="2:14" x14ac:dyDescent="0.2">
      <c r="C2349" t="s">
        <v>605</v>
      </c>
      <c r="D2349">
        <v>1.79</v>
      </c>
      <c r="E2349">
        <v>2.1800000000000002</v>
      </c>
      <c r="F2349">
        <v>1.76</v>
      </c>
      <c r="G2349">
        <v>1.48</v>
      </c>
      <c r="H2349">
        <v>0.92</v>
      </c>
      <c r="I2349">
        <v>0.57999999999999996</v>
      </c>
      <c r="J2349">
        <v>0.32</v>
      </c>
      <c r="K2349" t="s">
        <v>572</v>
      </c>
      <c r="L2349" t="s">
        <v>3</v>
      </c>
      <c r="M2349" t="s">
        <v>3</v>
      </c>
      <c r="N2349" s="92">
        <v>2.0699999999999998</v>
      </c>
    </row>
    <row r="2350" spans="2:14" x14ac:dyDescent="0.2">
      <c r="C2350" t="s">
        <v>606</v>
      </c>
      <c r="D2350" t="s">
        <v>572</v>
      </c>
      <c r="E2350" t="s">
        <v>3</v>
      </c>
      <c r="F2350" t="s">
        <v>3</v>
      </c>
      <c r="G2350" t="s">
        <v>3</v>
      </c>
      <c r="H2350" t="s">
        <v>3</v>
      </c>
      <c r="I2350" t="s">
        <v>3</v>
      </c>
      <c r="J2350" t="s">
        <v>3</v>
      </c>
      <c r="K2350" t="s">
        <v>3</v>
      </c>
      <c r="L2350" t="s">
        <v>3</v>
      </c>
      <c r="M2350" t="s">
        <v>3</v>
      </c>
      <c r="N2350" s="92" t="s">
        <v>572</v>
      </c>
    </row>
    <row r="2351" spans="2:14" x14ac:dyDescent="0.2">
      <c r="C2351" t="s">
        <v>607</v>
      </c>
      <c r="D2351" t="s">
        <v>572</v>
      </c>
      <c r="E2351" t="s">
        <v>3</v>
      </c>
      <c r="F2351">
        <v>0.94</v>
      </c>
      <c r="G2351">
        <v>1.65</v>
      </c>
      <c r="H2351">
        <v>2.4700000000000002</v>
      </c>
      <c r="I2351">
        <v>3.04</v>
      </c>
      <c r="J2351">
        <v>3.26</v>
      </c>
      <c r="K2351">
        <v>3.44</v>
      </c>
      <c r="L2351">
        <v>3.45</v>
      </c>
      <c r="M2351">
        <v>3.45</v>
      </c>
      <c r="N2351" s="92" t="s">
        <v>572</v>
      </c>
    </row>
    <row r="2352" spans="2:14" x14ac:dyDescent="0.2">
      <c r="C2352" t="s">
        <v>608</v>
      </c>
      <c r="D2352">
        <v>0.81</v>
      </c>
      <c r="E2352">
        <v>1.38</v>
      </c>
      <c r="F2352">
        <v>2.36</v>
      </c>
      <c r="G2352">
        <v>3.68</v>
      </c>
      <c r="H2352">
        <v>5.66</v>
      </c>
      <c r="I2352">
        <v>8.24</v>
      </c>
      <c r="J2352">
        <v>11.94</v>
      </c>
      <c r="K2352">
        <v>16.149999999999999</v>
      </c>
      <c r="L2352">
        <v>20.57</v>
      </c>
      <c r="M2352">
        <v>24.22</v>
      </c>
      <c r="N2352" s="92">
        <v>1.01</v>
      </c>
    </row>
    <row r="2353" spans="3:14" x14ac:dyDescent="0.2">
      <c r="C2353" t="s">
        <v>609</v>
      </c>
      <c r="D2353">
        <v>0.81</v>
      </c>
      <c r="E2353">
        <v>1.38</v>
      </c>
      <c r="F2353">
        <v>1.03</v>
      </c>
      <c r="G2353">
        <v>0.92</v>
      </c>
      <c r="H2353">
        <v>0.7</v>
      </c>
      <c r="I2353">
        <v>0.4</v>
      </c>
      <c r="J2353">
        <v>0.1</v>
      </c>
      <c r="K2353">
        <v>0.01</v>
      </c>
      <c r="L2353" t="s">
        <v>3</v>
      </c>
      <c r="M2353" t="s">
        <v>3</v>
      </c>
      <c r="N2353" s="92">
        <v>1.01</v>
      </c>
    </row>
    <row r="2354" spans="3:14" x14ac:dyDescent="0.2">
      <c r="C2354" t="s">
        <v>610</v>
      </c>
      <c r="D2354" t="s">
        <v>572</v>
      </c>
      <c r="E2354" t="s">
        <v>3</v>
      </c>
      <c r="F2354">
        <v>1.34</v>
      </c>
      <c r="G2354">
        <v>2.77</v>
      </c>
      <c r="H2354">
        <v>4.95</v>
      </c>
      <c r="I2354">
        <v>7.84</v>
      </c>
      <c r="J2354">
        <v>11.84</v>
      </c>
      <c r="K2354">
        <v>16.14</v>
      </c>
      <c r="L2354">
        <v>20.57</v>
      </c>
      <c r="M2354">
        <v>24.22</v>
      </c>
      <c r="N2354" s="92" t="s">
        <v>3</v>
      </c>
    </row>
    <row r="2355" spans="3:14" x14ac:dyDescent="0.2">
      <c r="C2355" t="s">
        <v>580</v>
      </c>
      <c r="D2355">
        <v>0.01</v>
      </c>
      <c r="E2355">
        <v>0.08</v>
      </c>
      <c r="F2355">
        <v>0.28000000000000003</v>
      </c>
      <c r="G2355">
        <v>0.52</v>
      </c>
      <c r="H2355">
        <v>0.98</v>
      </c>
      <c r="I2355">
        <v>1.91</v>
      </c>
      <c r="J2355">
        <v>4.4400000000000004</v>
      </c>
      <c r="K2355">
        <v>6.74</v>
      </c>
      <c r="L2355">
        <v>9.23</v>
      </c>
      <c r="M2355">
        <v>11.12</v>
      </c>
      <c r="N2355" s="92">
        <v>0.02</v>
      </c>
    </row>
    <row r="2356" spans="3:14" x14ac:dyDescent="0.2">
      <c r="C2356" t="s">
        <v>581</v>
      </c>
      <c r="D2356">
        <v>0</v>
      </c>
      <c r="E2356">
        <v>0.04</v>
      </c>
      <c r="F2356">
        <v>0.35</v>
      </c>
      <c r="G2356">
        <v>0.66</v>
      </c>
      <c r="H2356">
        <v>0.99</v>
      </c>
      <c r="I2356">
        <v>1.46</v>
      </c>
      <c r="J2356">
        <v>1.76</v>
      </c>
      <c r="K2356">
        <v>2.59</v>
      </c>
      <c r="L2356">
        <v>3.43</v>
      </c>
      <c r="M2356">
        <v>4.26</v>
      </c>
      <c r="N2356" s="92">
        <v>0.01</v>
      </c>
    </row>
    <row r="2357" spans="3:14" x14ac:dyDescent="0.2">
      <c r="C2357" t="s">
        <v>582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 s="92">
        <v>0</v>
      </c>
    </row>
    <row r="2358" spans="3:14" x14ac:dyDescent="0.2">
      <c r="C2358" t="s">
        <v>47</v>
      </c>
      <c r="D2358" t="s">
        <v>572</v>
      </c>
      <c r="E2358" t="s">
        <v>3</v>
      </c>
      <c r="F2358">
        <v>0.1</v>
      </c>
      <c r="G2358">
        <v>0.2</v>
      </c>
      <c r="H2358">
        <v>0.39</v>
      </c>
      <c r="I2358">
        <v>0.78</v>
      </c>
      <c r="J2358">
        <v>1.43</v>
      </c>
      <c r="K2358">
        <v>2.41</v>
      </c>
      <c r="L2358">
        <v>3.48</v>
      </c>
      <c r="M2358">
        <v>4.3899999999999997</v>
      </c>
      <c r="N2358" s="92" t="s">
        <v>572</v>
      </c>
    </row>
    <row r="2359" spans="3:14" x14ac:dyDescent="0.2">
      <c r="C2359" t="s">
        <v>583</v>
      </c>
      <c r="D2359">
        <v>0.01</v>
      </c>
      <c r="E2359">
        <v>0.14000000000000001</v>
      </c>
      <c r="F2359">
        <v>0.33</v>
      </c>
      <c r="G2359">
        <v>0.6</v>
      </c>
      <c r="H2359">
        <v>0.97</v>
      </c>
      <c r="I2359">
        <v>1.21</v>
      </c>
      <c r="J2359">
        <v>1.21</v>
      </c>
      <c r="K2359">
        <v>1.23</v>
      </c>
      <c r="L2359">
        <v>1.23</v>
      </c>
      <c r="M2359">
        <v>1.24</v>
      </c>
      <c r="N2359" s="92">
        <v>0.03</v>
      </c>
    </row>
    <row r="2360" spans="3:14" x14ac:dyDescent="0.2">
      <c r="C2360" t="s">
        <v>584</v>
      </c>
      <c r="D2360">
        <v>0.01</v>
      </c>
      <c r="E2360">
        <v>0.08</v>
      </c>
      <c r="F2360">
        <v>0.21</v>
      </c>
      <c r="G2360">
        <v>0.46</v>
      </c>
      <c r="H2360">
        <v>0.88</v>
      </c>
      <c r="I2360">
        <v>1.29</v>
      </c>
      <c r="J2360">
        <v>1.48</v>
      </c>
      <c r="K2360">
        <v>1.55</v>
      </c>
      <c r="L2360">
        <v>1.58</v>
      </c>
      <c r="M2360">
        <v>1.58</v>
      </c>
      <c r="N2360" s="92">
        <v>0.02</v>
      </c>
    </row>
    <row r="2361" spans="3:14" x14ac:dyDescent="0.2">
      <c r="C2361" t="s">
        <v>585</v>
      </c>
      <c r="D2361">
        <v>0.09</v>
      </c>
      <c r="E2361">
        <v>0.12</v>
      </c>
      <c r="F2361">
        <v>0.1</v>
      </c>
      <c r="G2361">
        <v>0.16</v>
      </c>
      <c r="H2361">
        <v>0.22</v>
      </c>
      <c r="I2361">
        <v>0.27</v>
      </c>
      <c r="J2361">
        <v>0.28999999999999998</v>
      </c>
      <c r="K2361">
        <v>0.28999999999999998</v>
      </c>
      <c r="L2361">
        <v>0.3</v>
      </c>
      <c r="M2361">
        <v>0.3</v>
      </c>
      <c r="N2361" s="92">
        <v>0.11</v>
      </c>
    </row>
    <row r="2362" spans="3:14" x14ac:dyDescent="0.2">
      <c r="C2362" t="s">
        <v>586</v>
      </c>
      <c r="D2362">
        <v>0.63</v>
      </c>
      <c r="E2362">
        <v>0.92</v>
      </c>
      <c r="F2362">
        <v>0.99</v>
      </c>
      <c r="G2362">
        <v>1.1000000000000001</v>
      </c>
      <c r="H2362">
        <v>1.23</v>
      </c>
      <c r="I2362">
        <v>1.32</v>
      </c>
      <c r="J2362">
        <v>1.32</v>
      </c>
      <c r="K2362">
        <v>1.33</v>
      </c>
      <c r="L2362">
        <v>1.33</v>
      </c>
      <c r="M2362">
        <v>1.33</v>
      </c>
      <c r="N2362" s="92">
        <v>0.8</v>
      </c>
    </row>
    <row r="2363" spans="3:14" x14ac:dyDescent="0.2">
      <c r="C2363" t="s">
        <v>587</v>
      </c>
      <c r="D2363">
        <v>0.04</v>
      </c>
      <c r="E2363">
        <v>0</v>
      </c>
      <c r="F2363">
        <v>0.01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 s="92">
        <v>0.02</v>
      </c>
    </row>
    <row r="2364" spans="3:14" x14ac:dyDescent="0.2">
      <c r="C2364" t="s">
        <v>588</v>
      </c>
      <c r="D2364" s="20">
        <f t="shared" ref="D2364:I2364" si="910">D2344+D2347+D2348+D2352</f>
        <v>65.710000000000008</v>
      </c>
      <c r="E2364" s="20">
        <f t="shared" si="910"/>
        <v>64.11</v>
      </c>
      <c r="F2364" s="20">
        <f t="shared" si="910"/>
        <v>68.64</v>
      </c>
      <c r="G2364" s="20">
        <f t="shared" si="910"/>
        <v>70.45</v>
      </c>
      <c r="H2364" s="20">
        <f t="shared" si="910"/>
        <v>67.37</v>
      </c>
      <c r="I2364" s="20">
        <f t="shared" si="910"/>
        <v>63.34</v>
      </c>
      <c r="J2364" s="20">
        <f>J2344+J2348+J2352</f>
        <v>58.54</v>
      </c>
      <c r="K2364" s="20">
        <f>K2344+K2348+K2352</f>
        <v>63.029999999999994</v>
      </c>
      <c r="L2364" s="20">
        <f>L2344+L2348+L2352</f>
        <v>67.84</v>
      </c>
      <c r="M2364" s="20">
        <f>M2344+M2348+M2352</f>
        <v>71.819999999999993</v>
      </c>
      <c r="N2364" s="94">
        <f>N2344+N2347+N2348+N2352</f>
        <v>59.32</v>
      </c>
    </row>
    <row r="2365" spans="3:14" x14ac:dyDescent="0.2">
      <c r="C2365" t="s">
        <v>589</v>
      </c>
      <c r="D2365">
        <v>-2.2200000000000002</v>
      </c>
      <c r="E2365">
        <v>-2.56</v>
      </c>
      <c r="F2365">
        <v>-4.34</v>
      </c>
      <c r="G2365">
        <v>-7.54</v>
      </c>
      <c r="H2365">
        <v>-7.54</v>
      </c>
      <c r="I2365">
        <v>-7.54</v>
      </c>
      <c r="J2365">
        <v>-7.54</v>
      </c>
      <c r="K2365">
        <v>-7.54</v>
      </c>
      <c r="L2365">
        <v>-7.54</v>
      </c>
      <c r="M2365">
        <v>-7.54</v>
      </c>
      <c r="N2365" s="92">
        <v>-2.2200000000000002</v>
      </c>
    </row>
    <row r="2366" spans="3:14" x14ac:dyDescent="0.2">
      <c r="C2366" s="14" t="s">
        <v>590</v>
      </c>
      <c r="D2366" s="32">
        <f>D2364+D2365</f>
        <v>63.490000000000009</v>
      </c>
      <c r="E2366" s="32">
        <f t="shared" ref="E2366:M2366" si="911">E2364+E2365</f>
        <v>61.55</v>
      </c>
      <c r="F2366" s="32">
        <f t="shared" si="911"/>
        <v>64.3</v>
      </c>
      <c r="G2366" s="32">
        <f t="shared" si="911"/>
        <v>62.910000000000004</v>
      </c>
      <c r="H2366" s="32">
        <f t="shared" si="911"/>
        <v>59.830000000000005</v>
      </c>
      <c r="I2366" s="32">
        <f t="shared" si="911"/>
        <v>55.800000000000004</v>
      </c>
      <c r="J2366" s="32">
        <f t="shared" si="911"/>
        <v>51</v>
      </c>
      <c r="K2366" s="32">
        <f t="shared" si="911"/>
        <v>55.489999999999995</v>
      </c>
      <c r="L2366" s="32">
        <f t="shared" si="911"/>
        <v>60.300000000000004</v>
      </c>
      <c r="M2366" s="32">
        <f t="shared" si="911"/>
        <v>64.279999999999987</v>
      </c>
      <c r="N2366" s="95">
        <f>N2364+N2365</f>
        <v>57.1</v>
      </c>
    </row>
    <row r="2367" spans="3:14" x14ac:dyDescent="0.2">
      <c r="C2367" t="s">
        <v>591</v>
      </c>
      <c r="D2367">
        <v>18.72</v>
      </c>
      <c r="E2367">
        <v>17.239999999999998</v>
      </c>
      <c r="F2367">
        <v>17.239999999999998</v>
      </c>
      <c r="G2367">
        <v>10.06</v>
      </c>
      <c r="H2367">
        <v>10.43</v>
      </c>
      <c r="I2367">
        <v>12.59</v>
      </c>
      <c r="J2367">
        <v>14.24</v>
      </c>
      <c r="K2367">
        <v>10.74</v>
      </c>
      <c r="L2367">
        <v>8.3699999999999992</v>
      </c>
      <c r="M2367">
        <v>7.2</v>
      </c>
      <c r="N2367" s="92">
        <v>17.98</v>
      </c>
    </row>
    <row r="2368" spans="3:14" x14ac:dyDescent="0.2">
      <c r="C2368" t="s">
        <v>592</v>
      </c>
      <c r="D2368">
        <v>18.72</v>
      </c>
      <c r="E2368">
        <v>17.239999999999998</v>
      </c>
      <c r="F2368">
        <v>17.239999999999998</v>
      </c>
      <c r="G2368">
        <v>10.06</v>
      </c>
      <c r="H2368">
        <v>8.42</v>
      </c>
      <c r="I2368">
        <v>8.42</v>
      </c>
      <c r="J2368">
        <v>2.61</v>
      </c>
      <c r="K2368">
        <v>1.3</v>
      </c>
      <c r="L2368" t="s">
        <v>572</v>
      </c>
      <c r="M2368" t="s">
        <v>3</v>
      </c>
      <c r="N2368" s="92">
        <v>17.98</v>
      </c>
    </row>
    <row r="2369" spans="2:14" x14ac:dyDescent="0.2">
      <c r="C2369" t="s">
        <v>593</v>
      </c>
      <c r="D2369" t="s">
        <v>572</v>
      </c>
      <c r="E2369" t="s">
        <v>3</v>
      </c>
      <c r="F2369" t="s">
        <v>3</v>
      </c>
      <c r="G2369" t="s">
        <v>3</v>
      </c>
      <c r="H2369">
        <v>2.0099999999999998</v>
      </c>
      <c r="I2369">
        <v>4.17</v>
      </c>
      <c r="J2369">
        <v>11.63</v>
      </c>
      <c r="K2369">
        <v>9.43</v>
      </c>
      <c r="L2369">
        <v>8.3699999999999992</v>
      </c>
      <c r="M2369">
        <v>7.2</v>
      </c>
      <c r="N2369" s="92" t="s">
        <v>3</v>
      </c>
    </row>
    <row r="2370" spans="2:14" x14ac:dyDescent="0.2">
      <c r="C2370" t="s">
        <v>594</v>
      </c>
      <c r="D2370">
        <v>26.07</v>
      </c>
      <c r="E2370">
        <v>15.19</v>
      </c>
      <c r="F2370">
        <v>16.46</v>
      </c>
      <c r="G2370">
        <v>8.9700000000000006</v>
      </c>
      <c r="H2370">
        <v>7.22</v>
      </c>
      <c r="I2370">
        <v>5.7</v>
      </c>
      <c r="J2370">
        <v>2.2599999999999998</v>
      </c>
      <c r="K2370">
        <v>2.29</v>
      </c>
      <c r="L2370">
        <v>3.73</v>
      </c>
      <c r="M2370">
        <v>5.53</v>
      </c>
      <c r="N2370" s="92">
        <v>13.75</v>
      </c>
    </row>
    <row r="2371" spans="2:14" x14ac:dyDescent="0.2">
      <c r="C2371" t="s">
        <v>612</v>
      </c>
      <c r="D2371">
        <v>2.83</v>
      </c>
      <c r="E2371">
        <v>2.2599999999999998</v>
      </c>
      <c r="F2371">
        <v>2.2599999999999998</v>
      </c>
      <c r="G2371">
        <v>2.2599999999999998</v>
      </c>
      <c r="H2371">
        <v>2.2599999999999998</v>
      </c>
      <c r="I2371">
        <v>2.2599999999999998</v>
      </c>
      <c r="J2371">
        <v>2.2599999999999998</v>
      </c>
      <c r="K2371">
        <v>0.66</v>
      </c>
      <c r="L2371" t="s">
        <v>572</v>
      </c>
      <c r="M2371" t="s">
        <v>3</v>
      </c>
      <c r="N2371" s="92">
        <v>2.2599999999999998</v>
      </c>
    </row>
    <row r="2372" spans="2:14" x14ac:dyDescent="0.2">
      <c r="C2372" t="s">
        <v>596</v>
      </c>
      <c r="D2372">
        <v>23.24</v>
      </c>
      <c r="E2372">
        <v>12.93</v>
      </c>
      <c r="F2372">
        <v>14.2</v>
      </c>
      <c r="G2372">
        <v>6.71</v>
      </c>
      <c r="H2372">
        <v>4.96</v>
      </c>
      <c r="I2372">
        <v>3.44</v>
      </c>
      <c r="J2372">
        <v>0</v>
      </c>
      <c r="K2372">
        <v>1.63</v>
      </c>
      <c r="L2372">
        <v>3.73</v>
      </c>
      <c r="M2372">
        <v>5.53</v>
      </c>
      <c r="N2372" s="92">
        <v>11.49</v>
      </c>
    </row>
    <row r="2373" spans="2:14" x14ac:dyDescent="0.2">
      <c r="C2373" s="14" t="s">
        <v>597</v>
      </c>
      <c r="D2373" s="32">
        <f>D2367-D2370</f>
        <v>-7.3500000000000014</v>
      </c>
      <c r="E2373" s="32">
        <f t="shared" ref="E2373:M2373" si="912">E2367-E2370</f>
        <v>2.0499999999999989</v>
      </c>
      <c r="F2373" s="32">
        <f t="shared" si="912"/>
        <v>0.77999999999999758</v>
      </c>
      <c r="G2373" s="32">
        <f t="shared" si="912"/>
        <v>1.0899999999999999</v>
      </c>
      <c r="H2373" s="32">
        <f t="shared" si="912"/>
        <v>3.21</v>
      </c>
      <c r="I2373" s="32">
        <f t="shared" si="912"/>
        <v>6.89</v>
      </c>
      <c r="J2373" s="32">
        <f t="shared" si="912"/>
        <v>11.98</v>
      </c>
      <c r="K2373" s="32">
        <f t="shared" si="912"/>
        <v>8.4499999999999993</v>
      </c>
      <c r="L2373" s="32">
        <f t="shared" si="912"/>
        <v>4.6399999999999988</v>
      </c>
      <c r="M2373" s="32">
        <f t="shared" si="912"/>
        <v>1.67</v>
      </c>
      <c r="N2373" s="95">
        <f>N2367-N2370</f>
        <v>4.2300000000000004</v>
      </c>
    </row>
    <row r="2374" spans="2:14" x14ac:dyDescent="0.2">
      <c r="C2374" t="s">
        <v>598</v>
      </c>
      <c r="D2374" s="20">
        <f>D2366+D2373</f>
        <v>56.140000000000008</v>
      </c>
      <c r="E2374" s="20">
        <f t="shared" ref="E2374:M2374" si="913">E2366+E2373</f>
        <v>63.599999999999994</v>
      </c>
      <c r="F2374" s="20">
        <f t="shared" si="913"/>
        <v>65.08</v>
      </c>
      <c r="G2374" s="20">
        <f t="shared" si="913"/>
        <v>64</v>
      </c>
      <c r="H2374" s="20">
        <f t="shared" si="913"/>
        <v>63.040000000000006</v>
      </c>
      <c r="I2374" s="20">
        <f t="shared" si="913"/>
        <v>62.690000000000005</v>
      </c>
      <c r="J2374" s="20">
        <f t="shared" si="913"/>
        <v>62.980000000000004</v>
      </c>
      <c r="K2374" s="20">
        <f t="shared" si="913"/>
        <v>63.94</v>
      </c>
      <c r="L2374" s="20">
        <f t="shared" si="913"/>
        <v>64.94</v>
      </c>
      <c r="M2374" s="20">
        <f t="shared" si="913"/>
        <v>65.949999999999989</v>
      </c>
      <c r="N2374" s="94">
        <f>N2366+N2373</f>
        <v>61.33</v>
      </c>
    </row>
    <row r="2375" spans="2:14" x14ac:dyDescent="0.2">
      <c r="N2375" s="92"/>
    </row>
    <row r="2376" spans="2:14" x14ac:dyDescent="0.2">
      <c r="C2376" t="s">
        <v>599</v>
      </c>
      <c r="D2376">
        <v>61.18</v>
      </c>
      <c r="E2376">
        <v>68.41</v>
      </c>
      <c r="F2376">
        <v>71.680000000000007</v>
      </c>
      <c r="G2376">
        <v>73.81</v>
      </c>
      <c r="H2376">
        <v>72.84</v>
      </c>
      <c r="I2376">
        <v>72.48</v>
      </c>
      <c r="J2376">
        <v>72.77</v>
      </c>
      <c r="K2376">
        <v>72.13</v>
      </c>
      <c r="L2376">
        <v>72.47</v>
      </c>
      <c r="M2376">
        <v>73.489999999999995</v>
      </c>
      <c r="N2376" s="92">
        <v>65.81</v>
      </c>
    </row>
    <row r="2377" spans="2:14" x14ac:dyDescent="0.2">
      <c r="N2377" s="92"/>
    </row>
    <row r="2378" spans="2:14" x14ac:dyDescent="0.2">
      <c r="N2378" s="92"/>
    </row>
    <row r="2379" spans="2:14" s="2" customFormat="1" ht="15" x14ac:dyDescent="0.25">
      <c r="B2379" s="2" t="s">
        <v>664</v>
      </c>
      <c r="C2379" s="9"/>
      <c r="N2379" s="96"/>
    </row>
    <row r="2380" spans="2:14" s="2" customFormat="1" ht="15" x14ac:dyDescent="0.25">
      <c r="B2380" s="2" t="s">
        <v>600</v>
      </c>
      <c r="N2380" s="96"/>
    </row>
    <row r="2381" spans="2:14" s="2" customFormat="1" ht="15" x14ac:dyDescent="0.25">
      <c r="B2381" s="13" t="s">
        <v>601</v>
      </c>
      <c r="D2381" s="2">
        <v>2000</v>
      </c>
      <c r="E2381" s="2">
        <v>2010</v>
      </c>
      <c r="F2381" s="2">
        <v>2015</v>
      </c>
      <c r="G2381" s="2">
        <v>2020</v>
      </c>
      <c r="H2381" s="2">
        <v>2025</v>
      </c>
      <c r="I2381" s="2">
        <v>2030</v>
      </c>
      <c r="J2381" s="2">
        <v>2035</v>
      </c>
      <c r="K2381" s="2">
        <v>2040</v>
      </c>
      <c r="L2381" s="2">
        <v>2045</v>
      </c>
      <c r="M2381" s="2">
        <v>2050</v>
      </c>
      <c r="N2381" s="96">
        <v>2005</v>
      </c>
    </row>
    <row r="2382" spans="2:14" x14ac:dyDescent="0.2">
      <c r="C2382" t="s">
        <v>568</v>
      </c>
      <c r="D2382">
        <v>17.71</v>
      </c>
      <c r="E2382">
        <v>14.16</v>
      </c>
      <c r="F2382">
        <v>17.079999999999998</v>
      </c>
      <c r="G2382">
        <v>18.98</v>
      </c>
      <c r="H2382">
        <v>19.3</v>
      </c>
      <c r="I2382">
        <v>19.59</v>
      </c>
      <c r="J2382">
        <v>19.89</v>
      </c>
      <c r="K2382">
        <v>20.22</v>
      </c>
      <c r="L2382">
        <v>20.53</v>
      </c>
      <c r="M2382">
        <v>20.86</v>
      </c>
      <c r="N2382" s="92">
        <v>15.56</v>
      </c>
    </row>
    <row r="2383" spans="2:14" x14ac:dyDescent="0.2">
      <c r="C2383" t="s">
        <v>633</v>
      </c>
      <c r="D2383">
        <v>17.71</v>
      </c>
      <c r="E2383">
        <v>14.16</v>
      </c>
      <c r="F2383">
        <v>15.95</v>
      </c>
      <c r="G2383">
        <v>16.09</v>
      </c>
      <c r="H2383">
        <v>16.239999999999998</v>
      </c>
      <c r="I2383">
        <v>16.39</v>
      </c>
      <c r="J2383">
        <v>16.47</v>
      </c>
      <c r="K2383">
        <v>16.59</v>
      </c>
      <c r="L2383">
        <v>16.53</v>
      </c>
      <c r="M2383">
        <v>16.63</v>
      </c>
      <c r="N2383" s="92">
        <v>15.56</v>
      </c>
    </row>
    <row r="2384" spans="2:14" x14ac:dyDescent="0.2">
      <c r="C2384" t="s">
        <v>603</v>
      </c>
      <c r="D2384" t="s">
        <v>3</v>
      </c>
      <c r="E2384" t="s">
        <v>3</v>
      </c>
      <c r="F2384">
        <v>1.1299999999999999</v>
      </c>
      <c r="G2384">
        <v>2.89</v>
      </c>
      <c r="H2384">
        <v>3.05</v>
      </c>
      <c r="I2384">
        <v>3.2</v>
      </c>
      <c r="J2384">
        <v>3.42</v>
      </c>
      <c r="K2384">
        <v>3.62</v>
      </c>
      <c r="L2384">
        <v>4</v>
      </c>
      <c r="M2384">
        <v>4.2300000000000004</v>
      </c>
      <c r="N2384" s="92" t="s">
        <v>3</v>
      </c>
    </row>
    <row r="2385" spans="3:14" x14ac:dyDescent="0.2">
      <c r="C2385" t="s">
        <v>571</v>
      </c>
      <c r="D2385">
        <v>13.72</v>
      </c>
      <c r="E2385">
        <v>14.17</v>
      </c>
      <c r="F2385">
        <v>13.5</v>
      </c>
      <c r="G2385">
        <v>11.91</v>
      </c>
      <c r="H2385">
        <v>8.7799999999999994</v>
      </c>
      <c r="I2385">
        <v>4.84</v>
      </c>
      <c r="J2385">
        <v>0</v>
      </c>
      <c r="K2385">
        <v>0</v>
      </c>
      <c r="L2385">
        <v>0</v>
      </c>
      <c r="M2385">
        <v>0</v>
      </c>
      <c r="N2385" s="92">
        <v>13.94</v>
      </c>
    </row>
    <row r="2386" spans="3:14" x14ac:dyDescent="0.2">
      <c r="C2386" t="s">
        <v>604</v>
      </c>
      <c r="D2386">
        <v>1.1100000000000001</v>
      </c>
      <c r="E2386">
        <v>1.3</v>
      </c>
      <c r="F2386">
        <v>1.63</v>
      </c>
      <c r="G2386">
        <v>1.9</v>
      </c>
      <c r="H2386">
        <v>2.08</v>
      </c>
      <c r="I2386">
        <v>2.2400000000000002</v>
      </c>
      <c r="J2386">
        <v>2.2000000000000002</v>
      </c>
      <c r="K2386">
        <v>2.13</v>
      </c>
      <c r="L2386">
        <v>2.14</v>
      </c>
      <c r="M2386">
        <v>2.14</v>
      </c>
      <c r="N2386" s="92">
        <v>1.25</v>
      </c>
    </row>
    <row r="2387" spans="3:14" x14ac:dyDescent="0.2">
      <c r="C2387" t="s">
        <v>605</v>
      </c>
      <c r="D2387">
        <v>1.1100000000000001</v>
      </c>
      <c r="E2387">
        <v>1.3</v>
      </c>
      <c r="F2387">
        <v>1.05</v>
      </c>
      <c r="G2387">
        <v>0.86</v>
      </c>
      <c r="H2387">
        <v>0.53</v>
      </c>
      <c r="I2387">
        <v>0.34</v>
      </c>
      <c r="J2387">
        <v>0.18</v>
      </c>
      <c r="K2387" t="s">
        <v>572</v>
      </c>
      <c r="L2387" t="s">
        <v>3</v>
      </c>
      <c r="M2387" t="s">
        <v>3</v>
      </c>
      <c r="N2387" s="92">
        <v>1.25</v>
      </c>
    </row>
    <row r="2388" spans="3:14" x14ac:dyDescent="0.2">
      <c r="C2388" t="s">
        <v>606</v>
      </c>
      <c r="D2388" t="s">
        <v>572</v>
      </c>
      <c r="E2388" t="s">
        <v>3</v>
      </c>
      <c r="F2388" t="s">
        <v>3</v>
      </c>
      <c r="G2388" t="s">
        <v>3</v>
      </c>
      <c r="H2388" t="s">
        <v>3</v>
      </c>
      <c r="I2388" t="s">
        <v>3</v>
      </c>
      <c r="J2388" t="s">
        <v>3</v>
      </c>
      <c r="K2388" t="s">
        <v>3</v>
      </c>
      <c r="L2388" t="s">
        <v>3</v>
      </c>
      <c r="M2388" t="s">
        <v>3</v>
      </c>
      <c r="N2388" s="92" t="s">
        <v>572</v>
      </c>
    </row>
    <row r="2389" spans="3:14" x14ac:dyDescent="0.2">
      <c r="C2389" t="s">
        <v>607</v>
      </c>
      <c r="D2389" t="s">
        <v>572</v>
      </c>
      <c r="E2389" t="s">
        <v>3</v>
      </c>
      <c r="F2389">
        <v>0.57999999999999996</v>
      </c>
      <c r="G2389">
        <v>1.04</v>
      </c>
      <c r="H2389">
        <v>1.55</v>
      </c>
      <c r="I2389">
        <v>1.9</v>
      </c>
      <c r="J2389">
        <v>2.0299999999999998</v>
      </c>
      <c r="K2389">
        <v>2.13</v>
      </c>
      <c r="L2389">
        <v>2.14</v>
      </c>
      <c r="M2389">
        <v>2.14</v>
      </c>
      <c r="N2389" s="92" t="s">
        <v>572</v>
      </c>
    </row>
    <row r="2390" spans="3:14" x14ac:dyDescent="0.2">
      <c r="C2390" t="s">
        <v>608</v>
      </c>
      <c r="D2390">
        <v>0.45</v>
      </c>
      <c r="E2390">
        <v>0.76</v>
      </c>
      <c r="F2390">
        <v>1.3</v>
      </c>
      <c r="G2390">
        <v>2.02</v>
      </c>
      <c r="H2390">
        <v>3.06</v>
      </c>
      <c r="I2390">
        <v>4.28</v>
      </c>
      <c r="J2390">
        <v>5.6</v>
      </c>
      <c r="K2390">
        <v>7.27</v>
      </c>
      <c r="L2390">
        <v>8.99</v>
      </c>
      <c r="M2390">
        <v>10.47</v>
      </c>
      <c r="N2390" s="92">
        <v>0.55000000000000004</v>
      </c>
    </row>
    <row r="2391" spans="3:14" x14ac:dyDescent="0.2">
      <c r="C2391" t="s">
        <v>609</v>
      </c>
      <c r="D2391">
        <v>0.45</v>
      </c>
      <c r="E2391">
        <v>0.76</v>
      </c>
      <c r="F2391">
        <v>0.56000000000000005</v>
      </c>
      <c r="G2391">
        <v>0.5</v>
      </c>
      <c r="H2391">
        <v>0.38</v>
      </c>
      <c r="I2391">
        <v>0.21</v>
      </c>
      <c r="J2391">
        <v>0.05</v>
      </c>
      <c r="K2391">
        <v>0</v>
      </c>
      <c r="L2391" t="s">
        <v>3</v>
      </c>
      <c r="M2391" t="s">
        <v>3</v>
      </c>
      <c r="N2391" s="92">
        <v>0.55000000000000004</v>
      </c>
    </row>
    <row r="2392" spans="3:14" x14ac:dyDescent="0.2">
      <c r="C2392" t="s">
        <v>610</v>
      </c>
      <c r="D2392" t="s">
        <v>572</v>
      </c>
      <c r="E2392" t="s">
        <v>3</v>
      </c>
      <c r="F2392">
        <v>0.74</v>
      </c>
      <c r="G2392">
        <v>1.52</v>
      </c>
      <c r="H2392">
        <v>2.68</v>
      </c>
      <c r="I2392">
        <v>4.07</v>
      </c>
      <c r="J2392">
        <v>5.54</v>
      </c>
      <c r="K2392">
        <v>7.26</v>
      </c>
      <c r="L2392">
        <v>8.99</v>
      </c>
      <c r="M2392">
        <v>10.47</v>
      </c>
      <c r="N2392" s="92" t="s">
        <v>3</v>
      </c>
    </row>
    <row r="2393" spans="3:14" x14ac:dyDescent="0.2">
      <c r="C2393" t="s">
        <v>580</v>
      </c>
      <c r="D2393">
        <v>0</v>
      </c>
      <c r="E2393">
        <v>0.02</v>
      </c>
      <c r="F2393">
        <v>0.08</v>
      </c>
      <c r="G2393">
        <v>0.14000000000000001</v>
      </c>
      <c r="H2393">
        <v>0.26</v>
      </c>
      <c r="I2393">
        <v>0.52</v>
      </c>
      <c r="J2393">
        <v>1.2</v>
      </c>
      <c r="K2393">
        <v>1.82</v>
      </c>
      <c r="L2393">
        <v>2.4900000000000002</v>
      </c>
      <c r="M2393">
        <v>3</v>
      </c>
      <c r="N2393" s="92">
        <v>0.01</v>
      </c>
    </row>
    <row r="2394" spans="3:14" x14ac:dyDescent="0.2">
      <c r="C2394" t="s">
        <v>581</v>
      </c>
      <c r="D2394">
        <v>0</v>
      </c>
      <c r="E2394">
        <v>0.02</v>
      </c>
      <c r="F2394">
        <v>0.21</v>
      </c>
      <c r="G2394">
        <v>0.4</v>
      </c>
      <c r="H2394">
        <v>0.59</v>
      </c>
      <c r="I2394">
        <v>0.88</v>
      </c>
      <c r="J2394">
        <v>1.06</v>
      </c>
      <c r="K2394">
        <v>1.56</v>
      </c>
      <c r="L2394">
        <v>2.06</v>
      </c>
      <c r="M2394">
        <v>2.56</v>
      </c>
      <c r="N2394" s="92">
        <v>0.01</v>
      </c>
    </row>
    <row r="2395" spans="3:14" x14ac:dyDescent="0.2">
      <c r="C2395" t="s">
        <v>582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 s="92">
        <v>0</v>
      </c>
    </row>
    <row r="2396" spans="3:14" x14ac:dyDescent="0.2">
      <c r="C2396" t="s">
        <v>47</v>
      </c>
      <c r="D2396" t="s">
        <v>572</v>
      </c>
      <c r="E2396" t="s">
        <v>3</v>
      </c>
      <c r="F2396">
        <v>0.05</v>
      </c>
      <c r="G2396">
        <v>0.1</v>
      </c>
      <c r="H2396">
        <v>0.2</v>
      </c>
      <c r="I2396">
        <v>0.39</v>
      </c>
      <c r="J2396">
        <v>0.72</v>
      </c>
      <c r="K2396">
        <v>1.2</v>
      </c>
      <c r="L2396">
        <v>1.74</v>
      </c>
      <c r="M2396">
        <v>2.19</v>
      </c>
      <c r="N2396" s="92" t="s">
        <v>572</v>
      </c>
    </row>
    <row r="2397" spans="3:14" x14ac:dyDescent="0.2">
      <c r="C2397" t="s">
        <v>583</v>
      </c>
      <c r="D2397">
        <v>0.01</v>
      </c>
      <c r="E2397">
        <v>0.09</v>
      </c>
      <c r="F2397">
        <v>0.23</v>
      </c>
      <c r="G2397">
        <v>0.41</v>
      </c>
      <c r="H2397">
        <v>0.66</v>
      </c>
      <c r="I2397">
        <v>0.82</v>
      </c>
      <c r="J2397">
        <v>0.82</v>
      </c>
      <c r="K2397">
        <v>0.83</v>
      </c>
      <c r="L2397">
        <v>0.83</v>
      </c>
      <c r="M2397">
        <v>0.84</v>
      </c>
      <c r="N2397" s="92">
        <v>0.02</v>
      </c>
    </row>
    <row r="2398" spans="3:14" x14ac:dyDescent="0.2">
      <c r="C2398" t="s">
        <v>584</v>
      </c>
      <c r="D2398">
        <v>0.01</v>
      </c>
      <c r="E2398">
        <v>0.05</v>
      </c>
      <c r="F2398">
        <v>0.13</v>
      </c>
      <c r="G2398">
        <v>0.28000000000000003</v>
      </c>
      <c r="H2398">
        <v>0.54</v>
      </c>
      <c r="I2398">
        <v>0.79</v>
      </c>
      <c r="J2398">
        <v>0.91</v>
      </c>
      <c r="K2398">
        <v>0.95</v>
      </c>
      <c r="L2398">
        <v>0.97</v>
      </c>
      <c r="M2398">
        <v>0.97</v>
      </c>
      <c r="N2398" s="92">
        <v>0.01</v>
      </c>
    </row>
    <row r="2399" spans="3:14" x14ac:dyDescent="0.2">
      <c r="C2399" t="s">
        <v>585</v>
      </c>
      <c r="D2399">
        <v>0.05</v>
      </c>
      <c r="E2399">
        <v>7.0000000000000007E-2</v>
      </c>
      <c r="F2399">
        <v>0.06</v>
      </c>
      <c r="G2399">
        <v>0.09</v>
      </c>
      <c r="H2399">
        <v>0.13</v>
      </c>
      <c r="I2399">
        <v>0.16</v>
      </c>
      <c r="J2399">
        <v>0.17</v>
      </c>
      <c r="K2399">
        <v>0.17</v>
      </c>
      <c r="L2399">
        <v>0.18</v>
      </c>
      <c r="M2399">
        <v>0.18</v>
      </c>
      <c r="N2399" s="92">
        <v>0.06</v>
      </c>
    </row>
    <row r="2400" spans="3:14" x14ac:dyDescent="0.2">
      <c r="C2400" t="s">
        <v>586</v>
      </c>
      <c r="D2400">
        <v>0.35</v>
      </c>
      <c r="E2400">
        <v>0.51</v>
      </c>
      <c r="F2400">
        <v>0.54</v>
      </c>
      <c r="G2400">
        <v>0.6</v>
      </c>
      <c r="H2400">
        <v>0.68</v>
      </c>
      <c r="I2400">
        <v>0.73</v>
      </c>
      <c r="J2400">
        <v>0.73</v>
      </c>
      <c r="K2400">
        <v>0.73</v>
      </c>
      <c r="L2400">
        <v>0.73</v>
      </c>
      <c r="M2400">
        <v>0.73</v>
      </c>
      <c r="N2400" s="92">
        <v>0.44</v>
      </c>
    </row>
    <row r="2401" spans="3:14" x14ac:dyDescent="0.2">
      <c r="C2401" t="s">
        <v>587</v>
      </c>
      <c r="D2401">
        <v>0.02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 s="92">
        <v>0.01</v>
      </c>
    </row>
    <row r="2402" spans="3:14" x14ac:dyDescent="0.2">
      <c r="C2402" t="s">
        <v>588</v>
      </c>
      <c r="D2402" s="20">
        <f t="shared" ref="D2402:I2402" si="914">D2382+D2385+D2386+D2390</f>
        <v>32.99</v>
      </c>
      <c r="E2402" s="20">
        <f t="shared" si="914"/>
        <v>30.39</v>
      </c>
      <c r="F2402" s="20">
        <f t="shared" si="914"/>
        <v>33.51</v>
      </c>
      <c r="G2402" s="20">
        <f t="shared" si="914"/>
        <v>34.81</v>
      </c>
      <c r="H2402" s="20">
        <f t="shared" si="914"/>
        <v>33.22</v>
      </c>
      <c r="I2402" s="20">
        <f t="shared" si="914"/>
        <v>30.950000000000003</v>
      </c>
      <c r="J2402" s="20">
        <f>J2382+J2386+J2390</f>
        <v>27.689999999999998</v>
      </c>
      <c r="K2402" s="20">
        <f>K2382+K2386+K2390</f>
        <v>29.619999999999997</v>
      </c>
      <c r="L2402" s="20">
        <f>L2382+L2386+L2390</f>
        <v>31.660000000000004</v>
      </c>
      <c r="M2402" s="20">
        <f>M2382+M2386+M2390</f>
        <v>33.47</v>
      </c>
      <c r="N2402" s="94">
        <f>N2382+N2385+N2386+N2390</f>
        <v>31.3</v>
      </c>
    </row>
    <row r="2403" spans="3:14" x14ac:dyDescent="0.2">
      <c r="C2403" t="s">
        <v>589</v>
      </c>
      <c r="D2403">
        <v>-0.89</v>
      </c>
      <c r="E2403">
        <v>-1.02</v>
      </c>
      <c r="F2403">
        <v>-2.13</v>
      </c>
      <c r="G2403">
        <v>-4.12</v>
      </c>
      <c r="H2403">
        <v>-4.12</v>
      </c>
      <c r="I2403">
        <v>-4.12</v>
      </c>
      <c r="J2403">
        <v>-4.12</v>
      </c>
      <c r="K2403">
        <v>-4.12</v>
      </c>
      <c r="L2403">
        <v>-4.12</v>
      </c>
      <c r="M2403">
        <v>-4.12</v>
      </c>
      <c r="N2403" s="92">
        <v>-0.89</v>
      </c>
    </row>
    <row r="2404" spans="3:14" x14ac:dyDescent="0.2">
      <c r="C2404" s="14" t="s">
        <v>590</v>
      </c>
      <c r="D2404" s="32">
        <f>D2402+D2403</f>
        <v>32.1</v>
      </c>
      <c r="E2404" s="32">
        <f t="shared" ref="E2404:M2404" si="915">E2402+E2403</f>
        <v>29.37</v>
      </c>
      <c r="F2404" s="32">
        <f t="shared" si="915"/>
        <v>31.38</v>
      </c>
      <c r="G2404" s="32">
        <f t="shared" si="915"/>
        <v>30.69</v>
      </c>
      <c r="H2404" s="32">
        <f t="shared" si="915"/>
        <v>29.099999999999998</v>
      </c>
      <c r="I2404" s="32">
        <f t="shared" si="915"/>
        <v>26.830000000000002</v>
      </c>
      <c r="J2404" s="32">
        <f t="shared" si="915"/>
        <v>23.569999999999997</v>
      </c>
      <c r="K2404" s="32">
        <f t="shared" si="915"/>
        <v>25.499999999999996</v>
      </c>
      <c r="L2404" s="32">
        <f t="shared" si="915"/>
        <v>27.540000000000003</v>
      </c>
      <c r="M2404" s="32">
        <f t="shared" si="915"/>
        <v>29.349999999999998</v>
      </c>
      <c r="N2404" s="95">
        <f>N2402+N2403</f>
        <v>30.41</v>
      </c>
    </row>
    <row r="2405" spans="3:14" x14ac:dyDescent="0.2">
      <c r="C2405" t="s">
        <v>591</v>
      </c>
      <c r="D2405">
        <v>10.16</v>
      </c>
      <c r="E2405">
        <v>9.36</v>
      </c>
      <c r="F2405">
        <v>9.36</v>
      </c>
      <c r="G2405">
        <v>5.46</v>
      </c>
      <c r="H2405">
        <v>6.58</v>
      </c>
      <c r="I2405">
        <v>8.74</v>
      </c>
      <c r="J2405">
        <v>12.23</v>
      </c>
      <c r="K2405">
        <v>10.14</v>
      </c>
      <c r="L2405">
        <v>8.3699999999999992</v>
      </c>
      <c r="M2405">
        <v>7.2</v>
      </c>
      <c r="N2405" s="92">
        <v>9.76</v>
      </c>
    </row>
    <row r="2406" spans="3:14" x14ac:dyDescent="0.2">
      <c r="C2406" t="s">
        <v>592</v>
      </c>
      <c r="D2406">
        <v>10.16</v>
      </c>
      <c r="E2406">
        <v>9.36</v>
      </c>
      <c r="F2406">
        <v>9.36</v>
      </c>
      <c r="G2406">
        <v>5.46</v>
      </c>
      <c r="H2406">
        <v>4.57</v>
      </c>
      <c r="I2406">
        <v>4.57</v>
      </c>
      <c r="J2406">
        <v>1.42</v>
      </c>
      <c r="K2406">
        <v>0.71</v>
      </c>
      <c r="L2406" t="s">
        <v>572</v>
      </c>
      <c r="M2406" t="s">
        <v>3</v>
      </c>
      <c r="N2406" s="92">
        <v>9.76</v>
      </c>
    </row>
    <row r="2407" spans="3:14" x14ac:dyDescent="0.2">
      <c r="C2407" t="s">
        <v>593</v>
      </c>
      <c r="D2407" t="s">
        <v>572</v>
      </c>
      <c r="E2407" t="s">
        <v>3</v>
      </c>
      <c r="F2407" t="s">
        <v>3</v>
      </c>
      <c r="G2407" t="s">
        <v>3</v>
      </c>
      <c r="H2407">
        <v>2.0099999999999998</v>
      </c>
      <c r="I2407">
        <v>4.17</v>
      </c>
      <c r="J2407">
        <v>10.81</v>
      </c>
      <c r="K2407">
        <v>9.43</v>
      </c>
      <c r="L2407">
        <v>8.3699999999999992</v>
      </c>
      <c r="M2407">
        <v>7.2</v>
      </c>
      <c r="N2407" s="92" t="s">
        <v>3</v>
      </c>
    </row>
    <row r="2408" spans="3:14" x14ac:dyDescent="0.2">
      <c r="C2408" t="s">
        <v>594</v>
      </c>
      <c r="D2408">
        <v>11.67</v>
      </c>
      <c r="E2408">
        <v>4.0999999999999996</v>
      </c>
      <c r="F2408">
        <v>5.22</v>
      </c>
      <c r="G2408">
        <v>1.1499999999999999</v>
      </c>
      <c r="H2408">
        <v>1.1299999999999999</v>
      </c>
      <c r="I2408">
        <v>1.1299999999999999</v>
      </c>
      <c r="J2408">
        <v>1.1299999999999999</v>
      </c>
      <c r="K2408">
        <v>0.36</v>
      </c>
      <c r="L2408">
        <v>0</v>
      </c>
      <c r="M2408">
        <v>0</v>
      </c>
      <c r="N2408" s="92">
        <v>6.85</v>
      </c>
    </row>
    <row r="2409" spans="3:14" x14ac:dyDescent="0.2">
      <c r="C2409" t="s">
        <v>612</v>
      </c>
      <c r="D2409">
        <v>1.47</v>
      </c>
      <c r="E2409">
        <v>1.1299999999999999</v>
      </c>
      <c r="F2409">
        <v>1.1299999999999999</v>
      </c>
      <c r="G2409">
        <v>1.1299999999999999</v>
      </c>
      <c r="H2409">
        <v>1.1299999999999999</v>
      </c>
      <c r="I2409">
        <v>1.1299999999999999</v>
      </c>
      <c r="J2409">
        <v>1.1299999999999999</v>
      </c>
      <c r="K2409">
        <v>0.36</v>
      </c>
      <c r="L2409" t="s">
        <v>572</v>
      </c>
      <c r="M2409" t="s">
        <v>3</v>
      </c>
      <c r="N2409" s="92">
        <v>1.1299999999999999</v>
      </c>
    </row>
    <row r="2410" spans="3:14" x14ac:dyDescent="0.2">
      <c r="C2410" t="s">
        <v>596</v>
      </c>
      <c r="D2410">
        <v>10.199999999999999</v>
      </c>
      <c r="E2410">
        <v>2.97</v>
      </c>
      <c r="F2410">
        <v>4.0999999999999996</v>
      </c>
      <c r="G2410">
        <v>0.02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 s="92">
        <v>5.72</v>
      </c>
    </row>
    <row r="2411" spans="3:14" x14ac:dyDescent="0.2">
      <c r="C2411" s="14" t="s">
        <v>597</v>
      </c>
      <c r="D2411" s="32">
        <f>D2405-D2408</f>
        <v>-1.5099999999999998</v>
      </c>
      <c r="E2411" s="32">
        <f t="shared" ref="E2411:M2411" si="916">E2405-E2408</f>
        <v>5.26</v>
      </c>
      <c r="F2411" s="32">
        <f t="shared" si="916"/>
        <v>4.1399999999999997</v>
      </c>
      <c r="G2411" s="32">
        <f t="shared" si="916"/>
        <v>4.3100000000000005</v>
      </c>
      <c r="H2411" s="32">
        <f t="shared" si="916"/>
        <v>5.45</v>
      </c>
      <c r="I2411" s="32">
        <f t="shared" si="916"/>
        <v>7.61</v>
      </c>
      <c r="J2411" s="32">
        <f t="shared" si="916"/>
        <v>11.100000000000001</v>
      </c>
      <c r="K2411" s="32">
        <f t="shared" si="916"/>
        <v>9.7800000000000011</v>
      </c>
      <c r="L2411" s="32">
        <f t="shared" si="916"/>
        <v>8.3699999999999992</v>
      </c>
      <c r="M2411" s="32">
        <f t="shared" si="916"/>
        <v>7.2</v>
      </c>
      <c r="N2411" s="95">
        <f>N2405-N2408</f>
        <v>2.91</v>
      </c>
    </row>
    <row r="2412" spans="3:14" x14ac:dyDescent="0.2">
      <c r="C2412" t="s">
        <v>598</v>
      </c>
      <c r="D2412" s="20">
        <f>D2404+D2411</f>
        <v>30.590000000000003</v>
      </c>
      <c r="E2412" s="20">
        <f t="shared" ref="E2412:M2412" si="917">E2404+E2411</f>
        <v>34.630000000000003</v>
      </c>
      <c r="F2412" s="20">
        <f t="shared" si="917"/>
        <v>35.519999999999996</v>
      </c>
      <c r="G2412" s="20">
        <f t="shared" si="917"/>
        <v>35</v>
      </c>
      <c r="H2412" s="20">
        <f t="shared" si="917"/>
        <v>34.549999999999997</v>
      </c>
      <c r="I2412" s="20">
        <f t="shared" si="917"/>
        <v>34.440000000000005</v>
      </c>
      <c r="J2412" s="20">
        <f t="shared" si="917"/>
        <v>34.67</v>
      </c>
      <c r="K2412" s="20">
        <f t="shared" si="917"/>
        <v>35.28</v>
      </c>
      <c r="L2412" s="20">
        <f t="shared" si="917"/>
        <v>35.910000000000004</v>
      </c>
      <c r="M2412" s="20">
        <f t="shared" si="917"/>
        <v>36.549999999999997</v>
      </c>
      <c r="N2412" s="94">
        <f>N2404+N2411</f>
        <v>33.32</v>
      </c>
    </row>
    <row r="2413" spans="3:14" x14ac:dyDescent="0.2">
      <c r="N2413" s="92"/>
    </row>
    <row r="2414" spans="3:14" x14ac:dyDescent="0.2">
      <c r="C2414" t="s">
        <v>599</v>
      </c>
      <c r="D2414">
        <v>32.950000000000003</v>
      </c>
      <c r="E2414">
        <v>36.770000000000003</v>
      </c>
      <c r="F2414">
        <v>38.770000000000003</v>
      </c>
      <c r="G2414">
        <v>40.25</v>
      </c>
      <c r="H2414">
        <v>39.799999999999997</v>
      </c>
      <c r="I2414">
        <v>39.68</v>
      </c>
      <c r="J2414">
        <v>39.909999999999997</v>
      </c>
      <c r="K2414">
        <v>39.76</v>
      </c>
      <c r="L2414">
        <v>40.03</v>
      </c>
      <c r="M2414">
        <v>40.67</v>
      </c>
      <c r="N2414" s="92">
        <v>35.33</v>
      </c>
    </row>
    <row r="2415" spans="3:14" x14ac:dyDescent="0.2">
      <c r="N2415" s="92"/>
    </row>
    <row r="2416" spans="3:14" x14ac:dyDescent="0.2">
      <c r="N2416" s="92"/>
    </row>
    <row r="2417" spans="2:14" s="2" customFormat="1" ht="15" x14ac:dyDescent="0.25">
      <c r="B2417" s="2" t="s">
        <v>664</v>
      </c>
      <c r="C2417" s="9"/>
      <c r="N2417" s="96"/>
    </row>
    <row r="2418" spans="2:14" s="2" customFormat="1" ht="15" x14ac:dyDescent="0.25">
      <c r="B2418" s="2" t="s">
        <v>614</v>
      </c>
      <c r="N2418" s="96"/>
    </row>
    <row r="2419" spans="2:14" s="2" customFormat="1" ht="15" x14ac:dyDescent="0.25">
      <c r="B2419" s="13" t="s">
        <v>615</v>
      </c>
      <c r="D2419" s="2">
        <v>2000</v>
      </c>
      <c r="E2419" s="2">
        <v>2010</v>
      </c>
      <c r="F2419" s="2">
        <v>2015</v>
      </c>
      <c r="G2419" s="2">
        <v>2020</v>
      </c>
      <c r="H2419" s="2">
        <v>2025</v>
      </c>
      <c r="I2419" s="2">
        <v>2030</v>
      </c>
      <c r="J2419" s="2">
        <v>2035</v>
      </c>
      <c r="K2419" s="2">
        <v>2040</v>
      </c>
      <c r="L2419" s="2">
        <v>2045</v>
      </c>
      <c r="M2419" s="2">
        <v>2050</v>
      </c>
      <c r="N2419" s="96">
        <v>2005</v>
      </c>
    </row>
    <row r="2420" spans="2:14" x14ac:dyDescent="0.2">
      <c r="C2420" t="s">
        <v>568</v>
      </c>
      <c r="D2420">
        <v>20.67</v>
      </c>
      <c r="E2420">
        <v>21.26</v>
      </c>
      <c r="F2420">
        <v>21.92</v>
      </c>
      <c r="G2420">
        <v>22.98</v>
      </c>
      <c r="H2420">
        <v>23.05</v>
      </c>
      <c r="I2420">
        <v>23.08</v>
      </c>
      <c r="J2420">
        <v>23.13</v>
      </c>
      <c r="K2420">
        <v>23.22</v>
      </c>
      <c r="L2420">
        <v>23.28</v>
      </c>
      <c r="M2420">
        <v>23.29</v>
      </c>
      <c r="N2420" s="92">
        <v>18.78</v>
      </c>
    </row>
    <row r="2421" spans="2:14" x14ac:dyDescent="0.2">
      <c r="C2421" t="s">
        <v>633</v>
      </c>
      <c r="D2421">
        <v>20.67</v>
      </c>
      <c r="E2421">
        <v>21.26</v>
      </c>
      <c r="F2421">
        <v>21</v>
      </c>
      <c r="G2421">
        <v>20.78</v>
      </c>
      <c r="H2421">
        <v>20.58</v>
      </c>
      <c r="I2421">
        <v>20.37</v>
      </c>
      <c r="J2421">
        <v>20.07</v>
      </c>
      <c r="K2421">
        <v>19.82</v>
      </c>
      <c r="L2421">
        <v>19.32</v>
      </c>
      <c r="M2421">
        <v>18.95</v>
      </c>
      <c r="N2421" s="92">
        <v>18.78</v>
      </c>
    </row>
    <row r="2422" spans="2:14" x14ac:dyDescent="0.2">
      <c r="C2422" t="s">
        <v>603</v>
      </c>
      <c r="D2422" t="s">
        <v>3</v>
      </c>
      <c r="E2422" t="s">
        <v>3</v>
      </c>
      <c r="F2422">
        <v>0.91</v>
      </c>
      <c r="G2422">
        <v>2.19</v>
      </c>
      <c r="H2422">
        <v>2.4700000000000002</v>
      </c>
      <c r="I2422">
        <v>2.71</v>
      </c>
      <c r="J2422">
        <v>3.06</v>
      </c>
      <c r="K2422">
        <v>3.4</v>
      </c>
      <c r="L2422">
        <v>3.97</v>
      </c>
      <c r="M2422">
        <v>4.34</v>
      </c>
      <c r="N2422" s="92" t="s">
        <v>3</v>
      </c>
    </row>
    <row r="2423" spans="2:14" x14ac:dyDescent="0.2">
      <c r="C2423" t="s">
        <v>571</v>
      </c>
      <c r="D2423">
        <v>11.01</v>
      </c>
      <c r="E2423">
        <v>10.96</v>
      </c>
      <c r="F2423">
        <v>11.08</v>
      </c>
      <c r="G2423">
        <v>9.77</v>
      </c>
      <c r="H2423">
        <v>7.21</v>
      </c>
      <c r="I2423">
        <v>3.97</v>
      </c>
      <c r="J2423">
        <v>0</v>
      </c>
      <c r="K2423">
        <v>0</v>
      </c>
      <c r="L2423">
        <v>0</v>
      </c>
      <c r="M2423">
        <v>0</v>
      </c>
      <c r="N2423" s="92">
        <v>7.97</v>
      </c>
    </row>
    <row r="2424" spans="2:14" x14ac:dyDescent="0.2">
      <c r="C2424" t="s">
        <v>604</v>
      </c>
      <c r="D2424">
        <v>0.67</v>
      </c>
      <c r="E2424">
        <v>0.88</v>
      </c>
      <c r="F2424">
        <v>1.07</v>
      </c>
      <c r="G2424">
        <v>1.23</v>
      </c>
      <c r="H2424">
        <v>1.3</v>
      </c>
      <c r="I2424">
        <v>1.38</v>
      </c>
      <c r="J2424">
        <v>1.37</v>
      </c>
      <c r="K2424">
        <v>1.31</v>
      </c>
      <c r="L2424">
        <v>1.31</v>
      </c>
      <c r="M2424">
        <v>1.31</v>
      </c>
      <c r="N2424" s="92">
        <v>0.82</v>
      </c>
    </row>
    <row r="2425" spans="2:14" x14ac:dyDescent="0.2">
      <c r="C2425" t="s">
        <v>605</v>
      </c>
      <c r="D2425">
        <v>0.67</v>
      </c>
      <c r="E2425">
        <v>0.88</v>
      </c>
      <c r="F2425">
        <v>0.71</v>
      </c>
      <c r="G2425">
        <v>0.62</v>
      </c>
      <c r="H2425">
        <v>0.38</v>
      </c>
      <c r="I2425">
        <v>0.24</v>
      </c>
      <c r="J2425">
        <v>0.14000000000000001</v>
      </c>
      <c r="K2425" t="s">
        <v>572</v>
      </c>
      <c r="L2425" t="s">
        <v>3</v>
      </c>
      <c r="M2425" t="s">
        <v>3</v>
      </c>
      <c r="N2425" s="92">
        <v>0.82</v>
      </c>
    </row>
    <row r="2426" spans="2:14" x14ac:dyDescent="0.2">
      <c r="C2426" t="s">
        <v>606</v>
      </c>
      <c r="D2426" t="s">
        <v>572</v>
      </c>
      <c r="E2426" t="s">
        <v>3</v>
      </c>
      <c r="F2426" t="s">
        <v>3</v>
      </c>
      <c r="G2426" t="s">
        <v>3</v>
      </c>
      <c r="H2426" t="s">
        <v>3</v>
      </c>
      <c r="I2426" t="s">
        <v>3</v>
      </c>
      <c r="J2426" t="s">
        <v>3</v>
      </c>
      <c r="K2426" t="s">
        <v>3</v>
      </c>
      <c r="L2426" t="s">
        <v>3</v>
      </c>
      <c r="M2426" t="s">
        <v>3</v>
      </c>
      <c r="N2426" s="92" t="s">
        <v>572</v>
      </c>
    </row>
    <row r="2427" spans="2:14" x14ac:dyDescent="0.2">
      <c r="C2427" t="s">
        <v>607</v>
      </c>
      <c r="D2427" t="s">
        <v>3</v>
      </c>
      <c r="E2427" t="s">
        <v>3</v>
      </c>
      <c r="F2427">
        <v>0.36</v>
      </c>
      <c r="G2427">
        <v>0.61</v>
      </c>
      <c r="H2427">
        <v>0.92</v>
      </c>
      <c r="I2427">
        <v>1.1499999999999999</v>
      </c>
      <c r="J2427">
        <v>1.23</v>
      </c>
      <c r="K2427">
        <v>1.31</v>
      </c>
      <c r="L2427">
        <v>1.31</v>
      </c>
      <c r="M2427">
        <v>1.31</v>
      </c>
      <c r="N2427" s="92" t="s">
        <v>3</v>
      </c>
    </row>
    <row r="2428" spans="2:14" x14ac:dyDescent="0.2">
      <c r="C2428" t="s">
        <v>608</v>
      </c>
      <c r="D2428">
        <v>0.36</v>
      </c>
      <c r="E2428">
        <v>0.62</v>
      </c>
      <c r="F2428">
        <v>1.07</v>
      </c>
      <c r="G2428">
        <v>1.66</v>
      </c>
      <c r="H2428">
        <v>2.6</v>
      </c>
      <c r="I2428">
        <v>3.96</v>
      </c>
      <c r="J2428">
        <v>6.34</v>
      </c>
      <c r="K2428">
        <v>8.8800000000000008</v>
      </c>
      <c r="L2428">
        <v>11.58</v>
      </c>
      <c r="M2428">
        <v>13.75</v>
      </c>
      <c r="N2428" s="92">
        <v>0.45</v>
      </c>
    </row>
    <row r="2429" spans="2:14" x14ac:dyDescent="0.2">
      <c r="C2429" t="s">
        <v>609</v>
      </c>
      <c r="D2429">
        <v>0.36</v>
      </c>
      <c r="E2429">
        <v>0.62</v>
      </c>
      <c r="F2429">
        <v>0.47</v>
      </c>
      <c r="G2429">
        <v>0.42</v>
      </c>
      <c r="H2429">
        <v>0.32</v>
      </c>
      <c r="I2429">
        <v>0.19</v>
      </c>
      <c r="J2429">
        <v>0.04</v>
      </c>
      <c r="K2429">
        <v>0</v>
      </c>
      <c r="L2429" t="s">
        <v>3</v>
      </c>
      <c r="M2429" t="s">
        <v>3</v>
      </c>
      <c r="N2429" s="92">
        <v>0.45</v>
      </c>
    </row>
    <row r="2430" spans="2:14" x14ac:dyDescent="0.2">
      <c r="C2430" t="s">
        <v>610</v>
      </c>
      <c r="D2430" t="s">
        <v>572</v>
      </c>
      <c r="E2430" t="s">
        <v>3</v>
      </c>
      <c r="F2430">
        <v>0.6</v>
      </c>
      <c r="G2430">
        <v>1.25</v>
      </c>
      <c r="H2430">
        <v>2.2799999999999998</v>
      </c>
      <c r="I2430">
        <v>3.77</v>
      </c>
      <c r="J2430">
        <v>6.3</v>
      </c>
      <c r="K2430">
        <v>8.8800000000000008</v>
      </c>
      <c r="L2430">
        <v>11.58</v>
      </c>
      <c r="M2430">
        <v>13.75</v>
      </c>
      <c r="N2430" s="92" t="s">
        <v>3</v>
      </c>
    </row>
    <row r="2431" spans="2:14" x14ac:dyDescent="0.2">
      <c r="C2431" t="s">
        <v>580</v>
      </c>
      <c r="D2431">
        <v>0.01</v>
      </c>
      <c r="E2431">
        <v>0.06</v>
      </c>
      <c r="F2431">
        <v>0.21</v>
      </c>
      <c r="G2431">
        <v>0.38</v>
      </c>
      <c r="H2431">
        <v>0.71</v>
      </c>
      <c r="I2431">
        <v>1.39</v>
      </c>
      <c r="J2431">
        <v>3.24</v>
      </c>
      <c r="K2431">
        <v>4.92</v>
      </c>
      <c r="L2431">
        <v>6.74</v>
      </c>
      <c r="M2431">
        <v>8.1199999999999992</v>
      </c>
      <c r="N2431" s="92">
        <v>0.01</v>
      </c>
    </row>
    <row r="2432" spans="2:14" x14ac:dyDescent="0.2">
      <c r="C2432" t="s">
        <v>581</v>
      </c>
      <c r="D2432">
        <v>0</v>
      </c>
      <c r="E2432">
        <v>0.01</v>
      </c>
      <c r="F2432">
        <v>0.14000000000000001</v>
      </c>
      <c r="G2432">
        <v>0.26</v>
      </c>
      <c r="H2432">
        <v>0.39</v>
      </c>
      <c r="I2432">
        <v>0.57999999999999996</v>
      </c>
      <c r="J2432">
        <v>0.7</v>
      </c>
      <c r="K2432">
        <v>1.04</v>
      </c>
      <c r="L2432">
        <v>1.37</v>
      </c>
      <c r="M2432">
        <v>1.7</v>
      </c>
      <c r="N2432" s="92">
        <v>0</v>
      </c>
    </row>
    <row r="2433" spans="3:14" x14ac:dyDescent="0.2">
      <c r="C2433" t="s">
        <v>582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 s="92">
        <v>0</v>
      </c>
    </row>
    <row r="2434" spans="3:14" x14ac:dyDescent="0.2">
      <c r="C2434" t="s">
        <v>47</v>
      </c>
      <c r="D2434" t="s">
        <v>572</v>
      </c>
      <c r="E2434" t="s">
        <v>3</v>
      </c>
      <c r="F2434">
        <v>0.05</v>
      </c>
      <c r="G2434">
        <v>0.1</v>
      </c>
      <c r="H2434">
        <v>0.2</v>
      </c>
      <c r="I2434">
        <v>0.39</v>
      </c>
      <c r="J2434">
        <v>0.72</v>
      </c>
      <c r="K2434">
        <v>1.2</v>
      </c>
      <c r="L2434">
        <v>1.74</v>
      </c>
      <c r="M2434">
        <v>2.19</v>
      </c>
      <c r="N2434" s="92" t="s">
        <v>572</v>
      </c>
    </row>
    <row r="2435" spans="3:14" x14ac:dyDescent="0.2">
      <c r="C2435" t="s">
        <v>583</v>
      </c>
      <c r="D2435">
        <v>0.01</v>
      </c>
      <c r="E2435">
        <v>0.04</v>
      </c>
      <c r="F2435">
        <v>0.1</v>
      </c>
      <c r="G2435">
        <v>0.19</v>
      </c>
      <c r="H2435">
        <v>0.31</v>
      </c>
      <c r="I2435">
        <v>0.39</v>
      </c>
      <c r="J2435">
        <v>0.4</v>
      </c>
      <c r="K2435">
        <v>0.4</v>
      </c>
      <c r="L2435">
        <v>0.4</v>
      </c>
      <c r="M2435">
        <v>0.41</v>
      </c>
      <c r="N2435" s="92">
        <v>0.01</v>
      </c>
    </row>
    <row r="2436" spans="3:14" x14ac:dyDescent="0.2">
      <c r="C2436" t="s">
        <v>584</v>
      </c>
      <c r="D2436">
        <v>0</v>
      </c>
      <c r="E2436">
        <v>0.03</v>
      </c>
      <c r="F2436">
        <v>0.08</v>
      </c>
      <c r="G2436">
        <v>0.18</v>
      </c>
      <c r="H2436">
        <v>0.34</v>
      </c>
      <c r="I2436">
        <v>0.5</v>
      </c>
      <c r="J2436">
        <v>0.56999999999999995</v>
      </c>
      <c r="K2436">
        <v>0.6</v>
      </c>
      <c r="L2436">
        <v>0.61</v>
      </c>
      <c r="M2436">
        <v>0.61</v>
      </c>
      <c r="N2436" s="92">
        <v>0.01</v>
      </c>
    </row>
    <row r="2437" spans="3:14" x14ac:dyDescent="0.2">
      <c r="C2437" t="s">
        <v>585</v>
      </c>
      <c r="D2437">
        <v>0.04</v>
      </c>
      <c r="E2437">
        <v>0.05</v>
      </c>
      <c r="F2437">
        <v>0.04</v>
      </c>
      <c r="G2437">
        <v>7.0000000000000007E-2</v>
      </c>
      <c r="H2437">
        <v>0.09</v>
      </c>
      <c r="I2437">
        <v>0.11</v>
      </c>
      <c r="J2437">
        <v>0.12</v>
      </c>
      <c r="K2437">
        <v>0.12</v>
      </c>
      <c r="L2437">
        <v>0.12</v>
      </c>
      <c r="M2437">
        <v>0.12</v>
      </c>
      <c r="N2437" s="92">
        <v>0.04</v>
      </c>
    </row>
    <row r="2438" spans="3:14" x14ac:dyDescent="0.2">
      <c r="C2438" t="s">
        <v>586</v>
      </c>
      <c r="D2438">
        <v>0.28999999999999998</v>
      </c>
      <c r="E2438">
        <v>0.41</v>
      </c>
      <c r="F2438">
        <v>0.45</v>
      </c>
      <c r="G2438">
        <v>0.49</v>
      </c>
      <c r="H2438">
        <v>0.56000000000000005</v>
      </c>
      <c r="I2438">
        <v>0.59</v>
      </c>
      <c r="J2438">
        <v>0.6</v>
      </c>
      <c r="K2438">
        <v>0.6</v>
      </c>
      <c r="L2438">
        <v>0.6</v>
      </c>
      <c r="M2438">
        <v>0.6</v>
      </c>
      <c r="N2438" s="92">
        <v>0.36</v>
      </c>
    </row>
    <row r="2439" spans="3:14" x14ac:dyDescent="0.2">
      <c r="C2439" t="s">
        <v>587</v>
      </c>
      <c r="D2439">
        <v>0.02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 s="92">
        <v>0.01</v>
      </c>
    </row>
    <row r="2440" spans="3:14" x14ac:dyDescent="0.2">
      <c r="C2440" t="s">
        <v>588</v>
      </c>
      <c r="D2440" s="20">
        <f t="shared" ref="D2440:I2440" si="918">D2420+D2423+D2424+D2428</f>
        <v>32.71</v>
      </c>
      <c r="E2440" s="20">
        <f t="shared" si="918"/>
        <v>33.72</v>
      </c>
      <c r="F2440" s="20">
        <f t="shared" si="918"/>
        <v>35.14</v>
      </c>
      <c r="G2440" s="20">
        <f t="shared" si="918"/>
        <v>35.639999999999993</v>
      </c>
      <c r="H2440" s="20">
        <f t="shared" si="918"/>
        <v>34.160000000000004</v>
      </c>
      <c r="I2440" s="20">
        <f t="shared" si="918"/>
        <v>32.389999999999993</v>
      </c>
      <c r="J2440" s="20">
        <f>J2420+J2424+J2428</f>
        <v>30.84</v>
      </c>
      <c r="K2440" s="20">
        <f>K2420+K2424+K2428</f>
        <v>33.409999999999997</v>
      </c>
      <c r="L2440" s="20">
        <f>L2420+L2424+L2428</f>
        <v>36.17</v>
      </c>
      <c r="M2440" s="20">
        <f>M2420+M2424+M2428</f>
        <v>38.349999999999994</v>
      </c>
      <c r="N2440" s="94">
        <f>N2420+N2423+N2424+N2428</f>
        <v>28.02</v>
      </c>
    </row>
    <row r="2441" spans="3:14" x14ac:dyDescent="0.2">
      <c r="C2441" t="s">
        <v>589</v>
      </c>
      <c r="D2441">
        <v>-1.33</v>
      </c>
      <c r="E2441">
        <v>-1.53</v>
      </c>
      <c r="F2441">
        <v>-2.21</v>
      </c>
      <c r="G2441">
        <v>-3.42</v>
      </c>
      <c r="H2441">
        <v>-3.42</v>
      </c>
      <c r="I2441">
        <v>-3.42</v>
      </c>
      <c r="J2441">
        <v>-3.42</v>
      </c>
      <c r="K2441">
        <v>-3.42</v>
      </c>
      <c r="L2441">
        <v>-3.42</v>
      </c>
      <c r="M2441">
        <v>-3.42</v>
      </c>
      <c r="N2441" s="92">
        <v>-1.33</v>
      </c>
    </row>
    <row r="2442" spans="3:14" x14ac:dyDescent="0.2">
      <c r="C2442" s="14" t="s">
        <v>590</v>
      </c>
      <c r="D2442" s="32">
        <f>D2440+D2441</f>
        <v>31.380000000000003</v>
      </c>
      <c r="E2442" s="32">
        <f t="shared" ref="E2442:M2442" si="919">E2440+E2441</f>
        <v>32.19</v>
      </c>
      <c r="F2442" s="32">
        <f t="shared" si="919"/>
        <v>32.93</v>
      </c>
      <c r="G2442" s="32">
        <f t="shared" si="919"/>
        <v>32.219999999999992</v>
      </c>
      <c r="H2442" s="32">
        <f t="shared" si="919"/>
        <v>30.740000000000002</v>
      </c>
      <c r="I2442" s="32">
        <f t="shared" si="919"/>
        <v>28.969999999999992</v>
      </c>
      <c r="J2442" s="32">
        <f t="shared" si="919"/>
        <v>27.42</v>
      </c>
      <c r="K2442" s="32">
        <f t="shared" si="919"/>
        <v>29.989999999999995</v>
      </c>
      <c r="L2442" s="32">
        <f t="shared" si="919"/>
        <v>32.75</v>
      </c>
      <c r="M2442" s="32">
        <f t="shared" si="919"/>
        <v>34.929999999999993</v>
      </c>
      <c r="N2442" s="95">
        <f>N2440+N2441</f>
        <v>26.689999999999998</v>
      </c>
    </row>
    <row r="2443" spans="3:14" x14ac:dyDescent="0.2">
      <c r="C2443" t="s">
        <v>591</v>
      </c>
      <c r="D2443">
        <v>8.56</v>
      </c>
      <c r="E2443">
        <v>7.88</v>
      </c>
      <c r="F2443">
        <v>7.88</v>
      </c>
      <c r="G2443">
        <v>4.5999999999999996</v>
      </c>
      <c r="H2443">
        <v>3.85</v>
      </c>
      <c r="I2443">
        <v>3.85</v>
      </c>
      <c r="J2443">
        <v>2.0099999999999998</v>
      </c>
      <c r="K2443">
        <v>0.6</v>
      </c>
      <c r="N2443" s="92">
        <v>8.2200000000000006</v>
      </c>
    </row>
    <row r="2444" spans="3:14" x14ac:dyDescent="0.2">
      <c r="C2444" t="s">
        <v>592</v>
      </c>
      <c r="D2444">
        <v>8.56</v>
      </c>
      <c r="E2444">
        <v>7.88</v>
      </c>
      <c r="F2444">
        <v>7.88</v>
      </c>
      <c r="G2444">
        <v>4.5999999999999996</v>
      </c>
      <c r="H2444">
        <v>3.85</v>
      </c>
      <c r="I2444">
        <v>3.85</v>
      </c>
      <c r="J2444">
        <v>1.19</v>
      </c>
      <c r="K2444">
        <v>0.6</v>
      </c>
      <c r="L2444" t="s">
        <v>3</v>
      </c>
      <c r="M2444" t="s">
        <v>3</v>
      </c>
      <c r="N2444" s="92">
        <v>8.2200000000000006</v>
      </c>
    </row>
    <row r="2445" spans="3:14" x14ac:dyDescent="0.2">
      <c r="C2445" t="s">
        <v>593</v>
      </c>
      <c r="D2445" t="s">
        <v>572</v>
      </c>
      <c r="E2445" t="s">
        <v>3</v>
      </c>
      <c r="F2445" t="s">
        <v>3</v>
      </c>
      <c r="G2445" t="s">
        <v>3</v>
      </c>
      <c r="H2445" t="s">
        <v>3</v>
      </c>
      <c r="I2445" t="s">
        <v>3</v>
      </c>
      <c r="J2445">
        <v>0.82</v>
      </c>
      <c r="K2445" t="s">
        <v>572</v>
      </c>
      <c r="L2445" t="s">
        <v>3</v>
      </c>
      <c r="M2445" t="s">
        <v>3</v>
      </c>
      <c r="N2445" s="92" t="s">
        <v>3</v>
      </c>
    </row>
    <row r="2446" spans="3:14" x14ac:dyDescent="0.2">
      <c r="C2446" t="s">
        <v>594</v>
      </c>
      <c r="D2446">
        <v>14.39</v>
      </c>
      <c r="E2446">
        <v>11.09</v>
      </c>
      <c r="F2446">
        <v>11.24</v>
      </c>
      <c r="G2446">
        <v>7.82</v>
      </c>
      <c r="H2446">
        <v>6.1</v>
      </c>
      <c r="I2446">
        <v>4.58</v>
      </c>
      <c r="J2446">
        <v>1.1399999999999999</v>
      </c>
      <c r="K2446">
        <v>1.93</v>
      </c>
      <c r="L2446">
        <v>3.73</v>
      </c>
      <c r="M2446">
        <v>5.53</v>
      </c>
      <c r="N2446" s="92">
        <v>6.9</v>
      </c>
    </row>
    <row r="2447" spans="3:14" x14ac:dyDescent="0.2">
      <c r="C2447" t="s">
        <v>612</v>
      </c>
      <c r="D2447">
        <v>1.35</v>
      </c>
      <c r="E2447">
        <v>1.1399999999999999</v>
      </c>
      <c r="F2447">
        <v>1.1399999999999999</v>
      </c>
      <c r="G2447">
        <v>1.1399999999999999</v>
      </c>
      <c r="H2447">
        <v>1.1399999999999999</v>
      </c>
      <c r="I2447">
        <v>1.1399999999999999</v>
      </c>
      <c r="J2447">
        <v>1.1399999999999999</v>
      </c>
      <c r="K2447">
        <v>0.3</v>
      </c>
      <c r="L2447" t="s">
        <v>3</v>
      </c>
      <c r="M2447" t="s">
        <v>3</v>
      </c>
      <c r="N2447" s="92">
        <v>1.1399999999999999</v>
      </c>
    </row>
    <row r="2448" spans="3:14" x14ac:dyDescent="0.2">
      <c r="C2448" t="s">
        <v>596</v>
      </c>
      <c r="D2448">
        <v>13.04</v>
      </c>
      <c r="E2448">
        <v>9.9600000000000009</v>
      </c>
      <c r="F2448">
        <v>10.1</v>
      </c>
      <c r="G2448">
        <v>6.69</v>
      </c>
      <c r="H2448">
        <v>4.96</v>
      </c>
      <c r="I2448">
        <v>3.44</v>
      </c>
      <c r="J2448" t="s">
        <v>572</v>
      </c>
      <c r="K2448">
        <v>1.63</v>
      </c>
      <c r="L2448">
        <v>3.73</v>
      </c>
      <c r="M2448">
        <v>5.53</v>
      </c>
      <c r="N2448" s="92">
        <v>5.76</v>
      </c>
    </row>
    <row r="2449" spans="2:14" x14ac:dyDescent="0.2">
      <c r="C2449" s="14" t="s">
        <v>597</v>
      </c>
      <c r="D2449" s="32">
        <f>D2443-D2446</f>
        <v>-5.83</v>
      </c>
      <c r="E2449" s="32">
        <f t="shared" ref="E2449:M2449" si="920">E2443-E2446</f>
        <v>-3.21</v>
      </c>
      <c r="F2449" s="32">
        <f t="shared" si="920"/>
        <v>-3.3600000000000003</v>
      </c>
      <c r="G2449" s="32">
        <f t="shared" si="920"/>
        <v>-3.2200000000000006</v>
      </c>
      <c r="H2449" s="32">
        <f t="shared" si="920"/>
        <v>-2.2499999999999996</v>
      </c>
      <c r="I2449" s="32">
        <f t="shared" si="920"/>
        <v>-0.73</v>
      </c>
      <c r="J2449" s="32">
        <f t="shared" si="920"/>
        <v>0.86999999999999988</v>
      </c>
      <c r="K2449" s="32">
        <f t="shared" si="920"/>
        <v>-1.33</v>
      </c>
      <c r="L2449" s="32">
        <f t="shared" si="920"/>
        <v>-3.73</v>
      </c>
      <c r="M2449" s="32">
        <f t="shared" si="920"/>
        <v>-5.53</v>
      </c>
      <c r="N2449" s="95">
        <f>N2443-N2446</f>
        <v>1.3200000000000003</v>
      </c>
    </row>
    <row r="2450" spans="2:14" x14ac:dyDescent="0.2">
      <c r="C2450" t="s">
        <v>598</v>
      </c>
      <c r="D2450" s="20">
        <f>D2442+D2449</f>
        <v>25.550000000000004</v>
      </c>
      <c r="E2450" s="20">
        <f t="shared" ref="E2450:M2450" si="921">E2442+E2449</f>
        <v>28.979999999999997</v>
      </c>
      <c r="F2450" s="20">
        <f t="shared" si="921"/>
        <v>29.57</v>
      </c>
      <c r="G2450" s="20">
        <f t="shared" si="921"/>
        <v>28.999999999999993</v>
      </c>
      <c r="H2450" s="20">
        <f t="shared" si="921"/>
        <v>28.490000000000002</v>
      </c>
      <c r="I2450" s="20">
        <f t="shared" si="921"/>
        <v>28.239999999999991</v>
      </c>
      <c r="J2450" s="20">
        <f t="shared" si="921"/>
        <v>28.290000000000003</v>
      </c>
      <c r="K2450" s="20">
        <f t="shared" si="921"/>
        <v>28.659999999999997</v>
      </c>
      <c r="L2450" s="20">
        <f t="shared" si="921"/>
        <v>29.02</v>
      </c>
      <c r="M2450" s="20">
        <f t="shared" si="921"/>
        <v>29.399999999999991</v>
      </c>
      <c r="N2450" s="94">
        <f>N2442+N2449</f>
        <v>28.009999999999998</v>
      </c>
    </row>
    <row r="2451" spans="2:14" x14ac:dyDescent="0.2">
      <c r="N2451" s="92"/>
    </row>
    <row r="2452" spans="2:14" x14ac:dyDescent="0.2">
      <c r="C2452" t="s">
        <v>599</v>
      </c>
      <c r="D2452">
        <v>28.23</v>
      </c>
      <c r="E2452">
        <v>31.64</v>
      </c>
      <c r="F2452">
        <v>32.909999999999997</v>
      </c>
      <c r="G2452">
        <v>33.56</v>
      </c>
      <c r="H2452">
        <v>33.04</v>
      </c>
      <c r="I2452">
        <v>32.799999999999997</v>
      </c>
      <c r="J2452">
        <v>32.86</v>
      </c>
      <c r="K2452">
        <v>32.369999999999997</v>
      </c>
      <c r="L2452">
        <v>32.450000000000003</v>
      </c>
      <c r="M2452">
        <v>32.82</v>
      </c>
      <c r="N2452" s="93">
        <v>30.48</v>
      </c>
    </row>
    <row r="2455" spans="2:14" ht="15" x14ac:dyDescent="0.25">
      <c r="B2455" s="2" t="s">
        <v>1280</v>
      </c>
    </row>
    <row r="2456" spans="2:14" ht="15" x14ac:dyDescent="0.25">
      <c r="B2456" s="13" t="s">
        <v>1279</v>
      </c>
      <c r="D2456" s="2">
        <v>2000</v>
      </c>
      <c r="E2456" s="2">
        <v>2010</v>
      </c>
      <c r="F2456" s="2">
        <v>2015</v>
      </c>
      <c r="G2456" s="2">
        <v>2020</v>
      </c>
      <c r="H2456" s="2">
        <v>2025</v>
      </c>
      <c r="I2456" s="2">
        <v>2030</v>
      </c>
      <c r="J2456" s="2">
        <v>2035</v>
      </c>
      <c r="K2456" s="2">
        <v>2040</v>
      </c>
      <c r="L2456" s="2">
        <v>2045</v>
      </c>
      <c r="M2456" s="2">
        <v>2050</v>
      </c>
    </row>
    <row r="2457" spans="2:14" ht="15" x14ac:dyDescent="0.25">
      <c r="B2457" s="13"/>
      <c r="C2457" t="s">
        <v>1285</v>
      </c>
      <c r="M2457" s="158">
        <v>0</v>
      </c>
    </row>
    <row r="2458" spans="2:14" ht="15" x14ac:dyDescent="0.25">
      <c r="C2458" t="s">
        <v>1281</v>
      </c>
      <c r="M2458" s="158">
        <v>25</v>
      </c>
    </row>
    <row r="2459" spans="2:14" ht="15" x14ac:dyDescent="0.25">
      <c r="C2459" t="s">
        <v>1284</v>
      </c>
      <c r="M2459" s="158">
        <v>0</v>
      </c>
    </row>
    <row r="2460" spans="2:14" ht="15" x14ac:dyDescent="0.25">
      <c r="C2460" t="s">
        <v>1282</v>
      </c>
      <c r="M2460" s="158">
        <v>0</v>
      </c>
    </row>
    <row r="2461" spans="2:14" ht="15" x14ac:dyDescent="0.25">
      <c r="C2461" t="s">
        <v>1296</v>
      </c>
      <c r="M2461" s="158">
        <v>0</v>
      </c>
    </row>
    <row r="2462" spans="2:14" ht="15" x14ac:dyDescent="0.25">
      <c r="C2462" t="s">
        <v>1283</v>
      </c>
      <c r="M2462" s="158">
        <v>1</v>
      </c>
    </row>
    <row r="2463" spans="2:14" ht="15" x14ac:dyDescent="0.25">
      <c r="C2463" t="s">
        <v>1286</v>
      </c>
      <c r="M2463" s="158">
        <v>7</v>
      </c>
    </row>
    <row r="2464" spans="2:14" ht="15" x14ac:dyDescent="0.25">
      <c r="C2464" t="s">
        <v>1287</v>
      </c>
      <c r="M2464" s="158">
        <v>9</v>
      </c>
    </row>
    <row r="2465" spans="2:13" ht="15" x14ac:dyDescent="0.25">
      <c r="C2465" t="s">
        <v>1294</v>
      </c>
      <c r="M2465" s="158">
        <v>11</v>
      </c>
    </row>
    <row r="2466" spans="2:13" ht="15" x14ac:dyDescent="0.25">
      <c r="C2466" t="s">
        <v>1288</v>
      </c>
      <c r="M2466" s="158">
        <v>23</v>
      </c>
    </row>
    <row r="2467" spans="2:13" ht="15" x14ac:dyDescent="0.25">
      <c r="C2467" t="s">
        <v>1289</v>
      </c>
      <c r="M2467" s="158">
        <v>8</v>
      </c>
    </row>
    <row r="2468" spans="2:13" ht="15" x14ac:dyDescent="0.25">
      <c r="C2468" s="52" t="s">
        <v>1290</v>
      </c>
      <c r="M2468" s="158">
        <v>5</v>
      </c>
    </row>
    <row r="2469" spans="2:13" ht="15" x14ac:dyDescent="0.25">
      <c r="C2469" s="52" t="s">
        <v>1291</v>
      </c>
      <c r="M2469" s="158">
        <v>6</v>
      </c>
    </row>
    <row r="2470" spans="2:13" ht="15" x14ac:dyDescent="0.25">
      <c r="C2470" s="52" t="s">
        <v>1292</v>
      </c>
      <c r="M2470" s="158">
        <v>4</v>
      </c>
    </row>
    <row r="2471" spans="2:13" ht="15" x14ac:dyDescent="0.25">
      <c r="C2471" s="52" t="s">
        <v>1293</v>
      </c>
      <c r="M2471" s="158">
        <v>0</v>
      </c>
    </row>
    <row r="2472" spans="2:13" x14ac:dyDescent="0.2">
      <c r="B2472" s="13" t="s">
        <v>129</v>
      </c>
      <c r="D2472" s="13">
        <v>0.54600000000000004</v>
      </c>
      <c r="E2472" s="13">
        <v>0.54600000000000004</v>
      </c>
      <c r="F2472" s="13">
        <v>0.54600000000000004</v>
      </c>
      <c r="G2472" s="13">
        <v>0.54600000000000004</v>
      </c>
      <c r="H2472" s="13">
        <v>0.54600000000000004</v>
      </c>
      <c r="I2472" s="13">
        <v>0.54600000000000004</v>
      </c>
      <c r="J2472" s="13">
        <v>0.54600000000000004</v>
      </c>
      <c r="K2472" s="13">
        <v>0.54600000000000004</v>
      </c>
      <c r="L2472" s="13">
        <v>0.54600000000000004</v>
      </c>
      <c r="M2472" s="13">
        <v>0.54600000000000004</v>
      </c>
    </row>
    <row r="2473" spans="2:13" x14ac:dyDescent="0.2">
      <c r="B2473" s="13"/>
      <c r="C2473" t="str">
        <f>C2457</f>
        <v>bestehend Kernkraft, all scenarios</v>
      </c>
      <c r="M2473" s="4">
        <f>M$2472*M2457</f>
        <v>0</v>
      </c>
    </row>
    <row r="2474" spans="2:13" x14ac:dyDescent="0.2">
      <c r="C2474" t="str">
        <f t="shared" ref="C2474:C2487" si="922">C2458</f>
        <v>bestehend Wasser, all scenarios</v>
      </c>
      <c r="M2474" s="4">
        <f t="shared" ref="M2474:M2487" si="923">M$2472*M2458</f>
        <v>13.65</v>
      </c>
    </row>
    <row r="2475" spans="2:13" x14ac:dyDescent="0.2">
      <c r="C2475" t="str">
        <f t="shared" si="922"/>
        <v>bestehend fossil GuD, all scenarios</v>
      </c>
      <c r="M2475" s="4">
        <f t="shared" si="923"/>
        <v>0</v>
      </c>
    </row>
    <row r="2476" spans="2:13" x14ac:dyDescent="0.2">
      <c r="C2476" t="str">
        <f t="shared" si="922"/>
        <v>bestehend fossil WKK, all scenarios</v>
      </c>
      <c r="M2476" s="4">
        <f t="shared" si="923"/>
        <v>0</v>
      </c>
    </row>
    <row r="2477" spans="2:13" x14ac:dyDescent="0.2">
      <c r="C2477" t="str">
        <f t="shared" si="922"/>
        <v>bestehend Erneuerbare, all scenarios</v>
      </c>
      <c r="M2477" s="4">
        <f t="shared" si="923"/>
        <v>0</v>
      </c>
    </row>
    <row r="2478" spans="2:13" x14ac:dyDescent="0.2">
      <c r="C2478" t="str">
        <f t="shared" si="922"/>
        <v>neu fossil WKK, all scenarios</v>
      </c>
      <c r="M2478" s="4">
        <f t="shared" si="923"/>
        <v>0.54600000000000004</v>
      </c>
    </row>
    <row r="2479" spans="2:13" x14ac:dyDescent="0.2">
      <c r="C2479" t="str">
        <f t="shared" si="922"/>
        <v>Wasser neu, variant C</v>
      </c>
      <c r="M2479" s="4">
        <f t="shared" si="923"/>
        <v>3.8220000000000001</v>
      </c>
    </row>
    <row r="2480" spans="2:13" x14ac:dyDescent="0.2">
      <c r="C2480" t="str">
        <f t="shared" si="922"/>
        <v>Wasser neu, variants C+E &amp; E</v>
      </c>
      <c r="M2480" s="4">
        <f t="shared" si="923"/>
        <v>4.9140000000000006</v>
      </c>
    </row>
    <row r="2481" spans="2:14" x14ac:dyDescent="0.2">
      <c r="C2481" t="str">
        <f t="shared" si="922"/>
        <v>Erneuerbare neu, variants C</v>
      </c>
      <c r="M2481" s="4">
        <f t="shared" si="923"/>
        <v>6.0060000000000002</v>
      </c>
    </row>
    <row r="2482" spans="2:14" ht="15" x14ac:dyDescent="0.25">
      <c r="C2482" t="str">
        <f t="shared" si="922"/>
        <v xml:space="preserve">Erneuerbare neu, variants C+E &amp; E </v>
      </c>
      <c r="M2482" s="4">
        <f t="shared" si="923"/>
        <v>12.558000000000002</v>
      </c>
      <c r="N2482" s="2" t="s">
        <v>1295</v>
      </c>
    </row>
    <row r="2483" spans="2:14" x14ac:dyDescent="0.2">
      <c r="C2483" t="str">
        <f t="shared" si="922"/>
        <v>fossil GuD, neu, scenario WWB+C</v>
      </c>
      <c r="M2483" s="4">
        <f t="shared" si="923"/>
        <v>4.3680000000000003</v>
      </c>
      <c r="N2483" s="159">
        <f>M2483/0.55</f>
        <v>7.9418181818181814</v>
      </c>
    </row>
    <row r="2484" spans="2:14" x14ac:dyDescent="0.2">
      <c r="C2484" t="str">
        <f t="shared" si="922"/>
        <v>fossil GuD, neu, WWB+C+E, NEP+C, POM+C+E</v>
      </c>
      <c r="M2484" s="4">
        <f t="shared" si="923"/>
        <v>2.7300000000000004</v>
      </c>
      <c r="N2484" s="159">
        <f t="shared" ref="N2484:N2487" si="924">M2484/0.55</f>
        <v>4.9636363636363638</v>
      </c>
    </row>
    <row r="2485" spans="2:14" x14ac:dyDescent="0.2">
      <c r="C2485" t="str">
        <f t="shared" si="922"/>
        <v>fossil GuD, neu, POM+C</v>
      </c>
      <c r="M2485" s="4">
        <f t="shared" si="923"/>
        <v>3.2760000000000002</v>
      </c>
      <c r="N2485" s="159">
        <f t="shared" si="924"/>
        <v>5.9563636363636361</v>
      </c>
    </row>
    <row r="2486" spans="2:14" x14ac:dyDescent="0.2">
      <c r="C2486" t="str">
        <f t="shared" si="922"/>
        <v>fossil GuD, neu, NEP+C+E</v>
      </c>
      <c r="M2486" s="4">
        <f t="shared" si="923"/>
        <v>2.1840000000000002</v>
      </c>
      <c r="N2486" s="159">
        <f t="shared" si="924"/>
        <v>3.9709090909090907</v>
      </c>
    </row>
    <row r="2487" spans="2:14" x14ac:dyDescent="0.2">
      <c r="C2487" t="str">
        <f t="shared" si="922"/>
        <v>fossil GuD, neu, NEP+E &amp; POM+E</v>
      </c>
      <c r="M2487" s="4">
        <f t="shared" si="923"/>
        <v>0</v>
      </c>
      <c r="N2487" s="159">
        <f t="shared" si="924"/>
        <v>0</v>
      </c>
    </row>
    <row r="2496" spans="2:14" s="2" customFormat="1" ht="15" x14ac:dyDescent="0.25">
      <c r="B2496" s="2" t="s">
        <v>670</v>
      </c>
    </row>
    <row r="2497" spans="2:13" ht="15" x14ac:dyDescent="0.25">
      <c r="B2497" s="2" t="s">
        <v>1021</v>
      </c>
    </row>
    <row r="2498" spans="2:13" x14ac:dyDescent="0.2">
      <c r="C2498" s="13" t="s">
        <v>913</v>
      </c>
    </row>
    <row r="2499" spans="2:13" ht="15" x14ac:dyDescent="0.25">
      <c r="D2499" s="2">
        <v>2000</v>
      </c>
      <c r="E2499" s="2">
        <v>2010</v>
      </c>
      <c r="F2499" s="2">
        <v>2015</v>
      </c>
      <c r="G2499" s="2">
        <v>2020</v>
      </c>
      <c r="H2499" s="2">
        <v>2025</v>
      </c>
      <c r="I2499" s="2">
        <v>2030</v>
      </c>
      <c r="J2499" s="2">
        <v>2035</v>
      </c>
      <c r="K2499" s="2">
        <v>2040</v>
      </c>
      <c r="L2499" s="2">
        <v>2045</v>
      </c>
      <c r="M2499" s="2">
        <v>2050</v>
      </c>
    </row>
    <row r="2500" spans="2:13" x14ac:dyDescent="0.2">
      <c r="C2500" t="s">
        <v>673</v>
      </c>
      <c r="D2500">
        <v>0.4</v>
      </c>
      <c r="E2500">
        <v>0.4</v>
      </c>
      <c r="F2500">
        <v>0.5</v>
      </c>
      <c r="G2500">
        <v>1.4</v>
      </c>
      <c r="H2500">
        <v>2.7</v>
      </c>
      <c r="I2500">
        <v>4.5</v>
      </c>
      <c r="J2500">
        <v>8.9</v>
      </c>
      <c r="K2500">
        <v>8.9</v>
      </c>
      <c r="L2500">
        <v>9.1999999999999993</v>
      </c>
      <c r="M2500">
        <v>9.1999999999999993</v>
      </c>
    </row>
    <row r="2501" spans="2:13" x14ac:dyDescent="0.2">
      <c r="C2501" t="s">
        <v>674</v>
      </c>
      <c r="D2501">
        <v>0.4</v>
      </c>
      <c r="E2501">
        <v>0.4</v>
      </c>
      <c r="F2501">
        <v>0.5</v>
      </c>
      <c r="G2501">
        <v>1.1000000000000001</v>
      </c>
      <c r="H2501">
        <v>2.1</v>
      </c>
      <c r="I2501">
        <v>3</v>
      </c>
      <c r="J2501">
        <v>6.6</v>
      </c>
      <c r="K2501">
        <v>5.5</v>
      </c>
      <c r="L2501">
        <v>4.7</v>
      </c>
      <c r="M2501">
        <v>4.4000000000000004</v>
      </c>
    </row>
    <row r="2502" spans="2:13" x14ac:dyDescent="0.2">
      <c r="C2502" t="s">
        <v>675</v>
      </c>
      <c r="D2502">
        <v>0.4</v>
      </c>
      <c r="E2502">
        <v>0.4</v>
      </c>
      <c r="F2502">
        <v>0.5</v>
      </c>
      <c r="G2502">
        <v>1.4</v>
      </c>
      <c r="H2502">
        <v>2.7</v>
      </c>
      <c r="I2502">
        <v>4.5</v>
      </c>
      <c r="J2502">
        <v>8.9</v>
      </c>
      <c r="K2502">
        <v>8.9</v>
      </c>
      <c r="L2502">
        <v>9.1999999999999993</v>
      </c>
      <c r="M2502">
        <v>9.1999999999999993</v>
      </c>
    </row>
    <row r="2503" spans="2:13" x14ac:dyDescent="0.2">
      <c r="C2503" t="s">
        <v>676</v>
      </c>
      <c r="D2503">
        <v>0.4</v>
      </c>
      <c r="E2503">
        <v>0.4</v>
      </c>
      <c r="F2503">
        <v>0.5</v>
      </c>
      <c r="G2503">
        <v>1.1000000000000001</v>
      </c>
      <c r="H2503">
        <v>2.1</v>
      </c>
      <c r="I2503">
        <v>3</v>
      </c>
      <c r="J2503">
        <v>6.6</v>
      </c>
      <c r="K2503">
        <v>5.5</v>
      </c>
      <c r="L2503">
        <v>4.7</v>
      </c>
      <c r="M2503">
        <v>4.4000000000000004</v>
      </c>
    </row>
    <row r="2505" spans="2:13" s="2" customFormat="1" ht="15" x14ac:dyDescent="0.25">
      <c r="B2505" s="2" t="s">
        <v>678</v>
      </c>
    </row>
    <row r="2506" spans="2:13" ht="15" x14ac:dyDescent="0.25">
      <c r="B2506" s="2" t="s">
        <v>1020</v>
      </c>
    </row>
    <row r="2507" spans="2:13" x14ac:dyDescent="0.2">
      <c r="C2507" s="13" t="s">
        <v>913</v>
      </c>
    </row>
    <row r="2508" spans="2:13" ht="15" x14ac:dyDescent="0.25">
      <c r="D2508" s="2">
        <v>2000</v>
      </c>
      <c r="E2508" s="2">
        <v>2010</v>
      </c>
      <c r="F2508" s="2">
        <v>2015</v>
      </c>
      <c r="G2508" s="2">
        <v>2020</v>
      </c>
      <c r="H2508" s="2">
        <v>2025</v>
      </c>
      <c r="I2508" s="2">
        <v>2030</v>
      </c>
      <c r="J2508" s="2">
        <v>2035</v>
      </c>
      <c r="K2508" s="2">
        <v>2040</v>
      </c>
      <c r="L2508" s="2">
        <v>2045</v>
      </c>
      <c r="M2508" s="2">
        <v>2050</v>
      </c>
    </row>
    <row r="2509" spans="2:13" x14ac:dyDescent="0.2">
      <c r="C2509" t="s">
        <v>673</v>
      </c>
      <c r="D2509">
        <v>0.4</v>
      </c>
      <c r="E2509">
        <v>0.4</v>
      </c>
      <c r="F2509">
        <v>0.5</v>
      </c>
      <c r="G2509">
        <v>0.8</v>
      </c>
      <c r="H2509">
        <v>1.6</v>
      </c>
      <c r="I2509">
        <v>2.4</v>
      </c>
      <c r="J2509">
        <v>5.7</v>
      </c>
      <c r="K2509">
        <v>4.9000000000000004</v>
      </c>
      <c r="L2509">
        <v>4.5</v>
      </c>
      <c r="M2509">
        <v>3.8</v>
      </c>
    </row>
    <row r="2510" spans="2:13" x14ac:dyDescent="0.2">
      <c r="C2510" t="s">
        <v>674</v>
      </c>
      <c r="D2510">
        <v>0.4</v>
      </c>
      <c r="E2510">
        <v>0.4</v>
      </c>
      <c r="F2510">
        <v>0.5</v>
      </c>
      <c r="G2510">
        <v>0.6</v>
      </c>
      <c r="H2510">
        <v>1.1000000000000001</v>
      </c>
      <c r="I2510">
        <v>1.6</v>
      </c>
      <c r="J2510">
        <v>3.5</v>
      </c>
      <c r="K2510">
        <v>2.7</v>
      </c>
      <c r="L2510">
        <v>2</v>
      </c>
      <c r="M2510">
        <v>1.3</v>
      </c>
    </row>
    <row r="2511" spans="2:13" x14ac:dyDescent="0.2">
      <c r="C2511" t="s">
        <v>680</v>
      </c>
      <c r="D2511">
        <v>0.4</v>
      </c>
      <c r="E2511">
        <v>0.4</v>
      </c>
      <c r="F2511">
        <v>0.5</v>
      </c>
      <c r="G2511">
        <v>0.6</v>
      </c>
      <c r="H2511">
        <v>0.6</v>
      </c>
      <c r="I2511">
        <v>0.6</v>
      </c>
      <c r="J2511">
        <v>0.6</v>
      </c>
      <c r="K2511">
        <v>0.5</v>
      </c>
      <c r="L2511">
        <v>0.5</v>
      </c>
      <c r="M2511">
        <v>0.5</v>
      </c>
    </row>
    <row r="2512" spans="2:13" x14ac:dyDescent="0.2">
      <c r="C2512" t="s">
        <v>675</v>
      </c>
      <c r="D2512">
        <v>0.4</v>
      </c>
      <c r="E2512">
        <v>0.4</v>
      </c>
      <c r="F2512">
        <v>0.5</v>
      </c>
      <c r="G2512">
        <v>0.8</v>
      </c>
      <c r="H2512">
        <v>1.6</v>
      </c>
      <c r="I2512">
        <v>2.4</v>
      </c>
      <c r="J2512">
        <v>5.7</v>
      </c>
      <c r="K2512">
        <v>4.9000000000000004</v>
      </c>
      <c r="L2512">
        <v>4.5</v>
      </c>
      <c r="M2512">
        <v>3.8</v>
      </c>
    </row>
    <row r="2513" spans="2:13" x14ac:dyDescent="0.2">
      <c r="C2513" t="s">
        <v>676</v>
      </c>
      <c r="D2513">
        <v>0.4</v>
      </c>
      <c r="E2513">
        <v>0.4</v>
      </c>
      <c r="F2513">
        <v>0.5</v>
      </c>
      <c r="G2513">
        <v>0.6</v>
      </c>
      <c r="H2513">
        <v>1.1000000000000001</v>
      </c>
      <c r="I2513">
        <v>1.6</v>
      </c>
      <c r="J2513">
        <v>3.5</v>
      </c>
      <c r="K2513">
        <v>2.7</v>
      </c>
      <c r="L2513">
        <v>2</v>
      </c>
      <c r="M2513">
        <v>1.3</v>
      </c>
    </row>
    <row r="2514" spans="2:13" x14ac:dyDescent="0.2">
      <c r="C2514" t="s">
        <v>681</v>
      </c>
      <c r="D2514">
        <v>0.4</v>
      </c>
      <c r="E2514">
        <v>0.4</v>
      </c>
      <c r="F2514">
        <v>0.5</v>
      </c>
      <c r="G2514">
        <v>0.6</v>
      </c>
      <c r="H2514">
        <v>0.6</v>
      </c>
      <c r="I2514">
        <v>0.6</v>
      </c>
      <c r="J2514">
        <v>0.6</v>
      </c>
      <c r="K2514">
        <v>0.5</v>
      </c>
      <c r="L2514">
        <v>0.5</v>
      </c>
      <c r="M2514">
        <v>0.5</v>
      </c>
    </row>
    <row r="2516" spans="2:13" s="2" customFormat="1" ht="15" x14ac:dyDescent="0.25">
      <c r="B2516" s="2" t="s">
        <v>683</v>
      </c>
    </row>
    <row r="2517" spans="2:13" ht="15" x14ac:dyDescent="0.25">
      <c r="B2517" s="2" t="s">
        <v>1020</v>
      </c>
    </row>
    <row r="2518" spans="2:13" x14ac:dyDescent="0.2">
      <c r="C2518" s="13" t="s">
        <v>913</v>
      </c>
    </row>
    <row r="2519" spans="2:13" ht="15" x14ac:dyDescent="0.25">
      <c r="D2519" s="2">
        <v>2000</v>
      </c>
      <c r="E2519" s="2">
        <v>2010</v>
      </c>
      <c r="F2519" s="2">
        <v>2015</v>
      </c>
      <c r="G2519" s="2">
        <v>2020</v>
      </c>
      <c r="H2519" s="2">
        <v>2025</v>
      </c>
      <c r="I2519" s="2">
        <v>2030</v>
      </c>
      <c r="J2519" s="2">
        <v>2035</v>
      </c>
      <c r="K2519" s="2">
        <v>2040</v>
      </c>
      <c r="L2519" s="2">
        <v>2045</v>
      </c>
      <c r="M2519" s="2">
        <v>2050</v>
      </c>
    </row>
    <row r="2520" spans="2:13" x14ac:dyDescent="0.2">
      <c r="C2520" t="s">
        <v>673</v>
      </c>
      <c r="D2520">
        <v>0.4</v>
      </c>
      <c r="E2520">
        <v>0.4</v>
      </c>
      <c r="F2520">
        <v>0.5</v>
      </c>
      <c r="G2520">
        <v>0.9</v>
      </c>
      <c r="H2520">
        <v>1.8</v>
      </c>
      <c r="I2520">
        <v>2.8</v>
      </c>
      <c r="J2520">
        <v>6.7</v>
      </c>
      <c r="K2520">
        <v>6.4</v>
      </c>
      <c r="L2520">
        <v>6.6</v>
      </c>
      <c r="M2520">
        <v>6.4</v>
      </c>
    </row>
    <row r="2521" spans="2:13" x14ac:dyDescent="0.2">
      <c r="C2521" t="s">
        <v>674</v>
      </c>
      <c r="D2521">
        <v>0.4</v>
      </c>
      <c r="E2521">
        <v>0.4</v>
      </c>
      <c r="F2521">
        <v>0.5</v>
      </c>
      <c r="G2521">
        <v>0.6</v>
      </c>
      <c r="H2521">
        <v>1.2</v>
      </c>
      <c r="I2521">
        <v>1.9</v>
      </c>
      <c r="J2521">
        <v>4.3</v>
      </c>
      <c r="K2521">
        <v>3.5</v>
      </c>
      <c r="L2521">
        <v>3.2</v>
      </c>
      <c r="M2521">
        <v>2.8</v>
      </c>
    </row>
    <row r="2522" spans="2:13" x14ac:dyDescent="0.2">
      <c r="C2522" t="s">
        <v>680</v>
      </c>
      <c r="D2522">
        <v>0.4</v>
      </c>
      <c r="E2522">
        <v>0.4</v>
      </c>
      <c r="F2522">
        <v>0.5</v>
      </c>
      <c r="G2522">
        <v>0.6</v>
      </c>
      <c r="H2522">
        <v>0.6</v>
      </c>
      <c r="I2522">
        <v>0.6</v>
      </c>
      <c r="J2522">
        <v>0.6</v>
      </c>
      <c r="K2522">
        <v>0.5</v>
      </c>
      <c r="L2522">
        <v>0.5</v>
      </c>
      <c r="M2522">
        <v>0.5</v>
      </c>
    </row>
    <row r="2523" spans="2:13" x14ac:dyDescent="0.2">
      <c r="C2523" t="s">
        <v>675</v>
      </c>
      <c r="D2523">
        <v>0.4</v>
      </c>
      <c r="E2523">
        <v>0.4</v>
      </c>
      <c r="F2523">
        <v>0.5</v>
      </c>
      <c r="G2523">
        <v>0.9</v>
      </c>
      <c r="H2523">
        <v>1.8</v>
      </c>
      <c r="I2523">
        <v>2.8</v>
      </c>
      <c r="J2523">
        <v>6.7</v>
      </c>
      <c r="K2523">
        <v>6.4</v>
      </c>
      <c r="L2523">
        <v>6.6</v>
      </c>
      <c r="M2523">
        <v>6.4</v>
      </c>
    </row>
    <row r="2524" spans="2:13" x14ac:dyDescent="0.2">
      <c r="C2524" t="s">
        <v>676</v>
      </c>
      <c r="D2524">
        <v>0.4</v>
      </c>
      <c r="E2524">
        <v>0.4</v>
      </c>
      <c r="F2524">
        <v>0.5</v>
      </c>
      <c r="G2524">
        <v>0.6</v>
      </c>
      <c r="H2524">
        <v>1.2</v>
      </c>
      <c r="I2524">
        <v>1.9</v>
      </c>
      <c r="J2524">
        <v>4.3</v>
      </c>
      <c r="K2524">
        <v>3.5</v>
      </c>
      <c r="L2524">
        <v>3.2</v>
      </c>
      <c r="M2524">
        <v>2.8</v>
      </c>
    </row>
    <row r="2525" spans="2:13" x14ac:dyDescent="0.2">
      <c r="C2525" t="s">
        <v>681</v>
      </c>
      <c r="D2525">
        <v>0.4</v>
      </c>
      <c r="E2525">
        <v>0.4</v>
      </c>
      <c r="F2525">
        <v>0.5</v>
      </c>
      <c r="G2525">
        <v>0.6</v>
      </c>
      <c r="H2525">
        <v>0.6</v>
      </c>
      <c r="I2525">
        <v>0.6</v>
      </c>
      <c r="J2525">
        <v>0.6</v>
      </c>
      <c r="K2525">
        <v>0.5</v>
      </c>
      <c r="L2525">
        <v>0.5</v>
      </c>
      <c r="M2525">
        <v>0.5</v>
      </c>
    </row>
    <row r="2529" spans="1:24" ht="27" x14ac:dyDescent="0.35">
      <c r="A2529" s="3" t="s">
        <v>1382</v>
      </c>
      <c r="O2529" s="3"/>
    </row>
    <row r="2530" spans="1:24" ht="15" x14ac:dyDescent="0.25">
      <c r="B2530" s="2"/>
      <c r="E2530" s="2"/>
      <c r="F2530" s="2"/>
      <c r="G2530" s="2"/>
      <c r="H2530" s="2"/>
      <c r="I2530" s="2"/>
      <c r="J2530" s="2"/>
      <c r="K2530" s="2"/>
      <c r="L2530" s="2"/>
      <c r="M2530" s="2"/>
    </row>
    <row r="2531" spans="1:24" ht="15" x14ac:dyDescent="0.25">
      <c r="B2531" s="2" t="s">
        <v>847</v>
      </c>
      <c r="E2531" s="2"/>
      <c r="F2531" s="2"/>
      <c r="G2531" s="2"/>
      <c r="H2531" s="2"/>
      <c r="I2531" s="2"/>
      <c r="J2531" s="2"/>
      <c r="K2531" s="2"/>
      <c r="L2531" s="2"/>
      <c r="M2531" s="2"/>
      <c r="O2531" s="2"/>
    </row>
    <row r="2532" spans="1:24" ht="15" x14ac:dyDescent="0.25">
      <c r="C2532" s="13" t="s">
        <v>128</v>
      </c>
      <c r="E2532" s="2">
        <v>2010</v>
      </c>
      <c r="F2532" s="2">
        <v>2015</v>
      </c>
      <c r="G2532" s="2">
        <v>2020</v>
      </c>
      <c r="H2532" s="2">
        <v>2025</v>
      </c>
      <c r="I2532" s="2">
        <v>2030</v>
      </c>
      <c r="J2532" s="2">
        <v>2035</v>
      </c>
      <c r="K2532" s="2">
        <v>2040</v>
      </c>
      <c r="L2532" s="2">
        <v>2045</v>
      </c>
      <c r="M2532" s="2">
        <v>2050</v>
      </c>
      <c r="P2532" s="2"/>
      <c r="Q2532" s="2"/>
      <c r="R2532" s="2"/>
      <c r="S2532" s="2"/>
      <c r="T2532" s="2"/>
      <c r="U2532" s="2"/>
      <c r="V2532" s="2"/>
      <c r="W2532" s="2"/>
      <c r="X2532" s="2"/>
    </row>
    <row r="2533" spans="1:24" x14ac:dyDescent="0.2">
      <c r="C2533" s="9" t="s">
        <v>846</v>
      </c>
      <c r="E2533" s="35" t="s">
        <v>3</v>
      </c>
      <c r="F2533" s="35" t="s">
        <v>3</v>
      </c>
      <c r="G2533" s="35" t="s">
        <v>3</v>
      </c>
      <c r="H2533" s="35" t="s">
        <v>3</v>
      </c>
      <c r="I2533" s="35" t="s">
        <v>3</v>
      </c>
      <c r="J2533" s="35" t="s">
        <v>3</v>
      </c>
      <c r="K2533" s="35" t="s">
        <v>3</v>
      </c>
      <c r="L2533" s="35" t="s">
        <v>3</v>
      </c>
      <c r="M2533" s="37">
        <f t="shared" ref="M2533:M2551" si="925">M2573+M2553</f>
        <v>1.63</v>
      </c>
    </row>
    <row r="2534" spans="1:24" x14ac:dyDescent="0.2">
      <c r="C2534" s="9" t="s">
        <v>816</v>
      </c>
      <c r="E2534" s="35" t="s">
        <v>3</v>
      </c>
      <c r="F2534" s="35" t="s">
        <v>3</v>
      </c>
      <c r="G2534" s="35" t="s">
        <v>3</v>
      </c>
      <c r="H2534" s="35" t="s">
        <v>3</v>
      </c>
      <c r="I2534" s="35" t="s">
        <v>3</v>
      </c>
      <c r="J2534" s="35" t="s">
        <v>3</v>
      </c>
      <c r="K2534" s="35" t="s">
        <v>3</v>
      </c>
      <c r="L2534" s="35" t="s">
        <v>3</v>
      </c>
      <c r="M2534" s="37">
        <f t="shared" si="925"/>
        <v>0</v>
      </c>
      <c r="N2534" s="1"/>
    </row>
    <row r="2535" spans="1:24" x14ac:dyDescent="0.2">
      <c r="C2535" s="9" t="s">
        <v>817</v>
      </c>
      <c r="E2535" s="35" t="s">
        <v>3</v>
      </c>
      <c r="F2535" s="35" t="s">
        <v>3</v>
      </c>
      <c r="G2535" s="35" t="s">
        <v>3</v>
      </c>
      <c r="H2535" s="35" t="s">
        <v>3</v>
      </c>
      <c r="I2535" s="35" t="s">
        <v>3</v>
      </c>
      <c r="J2535" s="35" t="s">
        <v>3</v>
      </c>
      <c r="K2535" s="35" t="s">
        <v>3</v>
      </c>
      <c r="L2535" s="35" t="s">
        <v>3</v>
      </c>
      <c r="M2535" s="37">
        <f t="shared" si="925"/>
        <v>16.600000000000001</v>
      </c>
      <c r="N2535" s="1"/>
    </row>
    <row r="2536" spans="1:24" x14ac:dyDescent="0.2">
      <c r="C2536" s="9" t="s">
        <v>818</v>
      </c>
      <c r="E2536" s="35" t="s">
        <v>3</v>
      </c>
      <c r="F2536" s="35" t="s">
        <v>3</v>
      </c>
      <c r="G2536" s="35" t="s">
        <v>3</v>
      </c>
      <c r="H2536" s="35" t="s">
        <v>3</v>
      </c>
      <c r="I2536" s="35" t="s">
        <v>3</v>
      </c>
      <c r="J2536" s="35" t="s">
        <v>3</v>
      </c>
      <c r="K2536" s="35" t="s">
        <v>3</v>
      </c>
      <c r="L2536" s="35" t="s">
        <v>3</v>
      </c>
      <c r="M2536" s="37">
        <f t="shared" si="925"/>
        <v>19.670000000000002</v>
      </c>
      <c r="N2536" s="1"/>
    </row>
    <row r="2537" spans="1:24" x14ac:dyDescent="0.2">
      <c r="C2537" s="9" t="s">
        <v>819</v>
      </c>
      <c r="E2537" s="35" t="s">
        <v>3</v>
      </c>
      <c r="F2537" s="35" t="s">
        <v>3</v>
      </c>
      <c r="G2537" s="35" t="s">
        <v>3</v>
      </c>
      <c r="H2537" s="35" t="s">
        <v>3</v>
      </c>
      <c r="I2537" s="35" t="s">
        <v>3</v>
      </c>
      <c r="J2537" s="35" t="s">
        <v>3</v>
      </c>
      <c r="K2537" s="35" t="s">
        <v>3</v>
      </c>
      <c r="L2537" s="35" t="s">
        <v>3</v>
      </c>
      <c r="M2537" s="37">
        <f t="shared" si="925"/>
        <v>2.38</v>
      </c>
      <c r="N2537" s="1"/>
    </row>
    <row r="2538" spans="1:24" x14ac:dyDescent="0.2">
      <c r="C2538" s="9" t="s">
        <v>820</v>
      </c>
      <c r="E2538" s="35" t="s">
        <v>3</v>
      </c>
      <c r="F2538" s="35" t="s">
        <v>3</v>
      </c>
      <c r="G2538" s="35" t="s">
        <v>3</v>
      </c>
      <c r="H2538" s="35" t="s">
        <v>3</v>
      </c>
      <c r="I2538" s="35" t="s">
        <v>3</v>
      </c>
      <c r="J2538" s="35" t="s">
        <v>3</v>
      </c>
      <c r="K2538" s="35" t="s">
        <v>3</v>
      </c>
      <c r="L2538" s="35" t="s">
        <v>3</v>
      </c>
      <c r="M2538" s="37">
        <f t="shared" si="925"/>
        <v>4.41</v>
      </c>
      <c r="N2538" s="1"/>
    </row>
    <row r="2539" spans="1:24" x14ac:dyDescent="0.2">
      <c r="C2539" s="9" t="s">
        <v>821</v>
      </c>
      <c r="E2539" s="35" t="s">
        <v>3</v>
      </c>
      <c r="F2539" s="35" t="s">
        <v>3</v>
      </c>
      <c r="G2539" s="35" t="s">
        <v>3</v>
      </c>
      <c r="H2539" s="35" t="s">
        <v>3</v>
      </c>
      <c r="I2539" s="35" t="s">
        <v>3</v>
      </c>
      <c r="J2539" s="35" t="s">
        <v>3</v>
      </c>
      <c r="K2539" s="35" t="s">
        <v>3</v>
      </c>
      <c r="L2539" s="35" t="s">
        <v>3</v>
      </c>
      <c r="M2539" s="37">
        <f t="shared" si="925"/>
        <v>2.81</v>
      </c>
      <c r="N2539" s="1"/>
    </row>
    <row r="2540" spans="1:24" x14ac:dyDescent="0.2">
      <c r="C2540" s="9" t="s">
        <v>822</v>
      </c>
      <c r="E2540" s="35" t="s">
        <v>3</v>
      </c>
      <c r="F2540" s="35" t="s">
        <v>3</v>
      </c>
      <c r="G2540" s="35" t="s">
        <v>3</v>
      </c>
      <c r="H2540" s="35" t="s">
        <v>3</v>
      </c>
      <c r="I2540" s="35" t="s">
        <v>3</v>
      </c>
      <c r="J2540" s="35" t="s">
        <v>3</v>
      </c>
      <c r="K2540" s="35" t="s">
        <v>3</v>
      </c>
      <c r="L2540" s="35" t="s">
        <v>3</v>
      </c>
      <c r="M2540" s="37">
        <f t="shared" si="925"/>
        <v>11.120000000000001</v>
      </c>
      <c r="N2540" s="1"/>
    </row>
    <row r="2541" spans="1:24" x14ac:dyDescent="0.2">
      <c r="C2541" s="9" t="s">
        <v>823</v>
      </c>
      <c r="E2541" s="35" t="s">
        <v>3</v>
      </c>
      <c r="F2541" s="35" t="s">
        <v>3</v>
      </c>
      <c r="G2541" s="35" t="s">
        <v>3</v>
      </c>
      <c r="H2541" s="35" t="s">
        <v>3</v>
      </c>
      <c r="I2541" s="35" t="s">
        <v>3</v>
      </c>
      <c r="J2541" s="35" t="s">
        <v>3</v>
      </c>
      <c r="K2541" s="35" t="s">
        <v>3</v>
      </c>
      <c r="L2541" s="35" t="s">
        <v>3</v>
      </c>
      <c r="M2541" s="37">
        <f t="shared" si="925"/>
        <v>4.2699999999999996</v>
      </c>
      <c r="N2541" s="1"/>
    </row>
    <row r="2542" spans="1:24" x14ac:dyDescent="0.2">
      <c r="C2542" s="9" t="s">
        <v>824</v>
      </c>
      <c r="E2542" s="35" t="s">
        <v>3</v>
      </c>
      <c r="F2542" s="35" t="s">
        <v>3</v>
      </c>
      <c r="G2542" s="35" t="s">
        <v>3</v>
      </c>
      <c r="H2542" s="35" t="s">
        <v>3</v>
      </c>
      <c r="I2542" s="35" t="s">
        <v>3</v>
      </c>
      <c r="J2542" s="35" t="s">
        <v>3</v>
      </c>
      <c r="K2542" s="35" t="s">
        <v>3</v>
      </c>
      <c r="L2542" s="35" t="s">
        <v>3</v>
      </c>
      <c r="M2542" s="37">
        <f t="shared" si="925"/>
        <v>3.4</v>
      </c>
      <c r="N2542" s="1"/>
    </row>
    <row r="2543" spans="1:24" x14ac:dyDescent="0.2">
      <c r="C2543" s="9" t="s">
        <v>825</v>
      </c>
      <c r="E2543" s="35" t="s">
        <v>3</v>
      </c>
      <c r="F2543" s="35" t="s">
        <v>3</v>
      </c>
      <c r="G2543" s="35" t="s">
        <v>3</v>
      </c>
      <c r="H2543" s="35" t="s">
        <v>3</v>
      </c>
      <c r="I2543" s="35" t="s">
        <v>3</v>
      </c>
      <c r="J2543" s="35" t="s">
        <v>3</v>
      </c>
      <c r="K2543" s="35" t="s">
        <v>3</v>
      </c>
      <c r="L2543" s="35" t="s">
        <v>3</v>
      </c>
      <c r="M2543" s="37">
        <f t="shared" si="925"/>
        <v>0</v>
      </c>
      <c r="N2543" s="1"/>
    </row>
    <row r="2544" spans="1:24" x14ac:dyDescent="0.2">
      <c r="C2544" s="9" t="s">
        <v>778</v>
      </c>
      <c r="E2544" s="35" t="s">
        <v>3</v>
      </c>
      <c r="F2544" s="35" t="s">
        <v>3</v>
      </c>
      <c r="G2544" s="35" t="s">
        <v>3</v>
      </c>
      <c r="H2544" s="35" t="s">
        <v>3</v>
      </c>
      <c r="I2544" s="35" t="s">
        <v>3</v>
      </c>
      <c r="J2544" s="35" t="s">
        <v>3</v>
      </c>
      <c r="K2544" s="35" t="s">
        <v>3</v>
      </c>
      <c r="L2544" s="35" t="s">
        <v>3</v>
      </c>
      <c r="M2544" s="37">
        <f t="shared" si="925"/>
        <v>0.5</v>
      </c>
      <c r="N2544" s="1"/>
    </row>
    <row r="2545" spans="3:14" x14ac:dyDescent="0.2">
      <c r="C2545" s="22" t="s">
        <v>185</v>
      </c>
      <c r="D2545" s="14"/>
      <c r="E2545" s="78" t="s">
        <v>3</v>
      </c>
      <c r="F2545" s="78" t="s">
        <v>3</v>
      </c>
      <c r="G2545" s="78" t="s">
        <v>3</v>
      </c>
      <c r="H2545" s="78" t="s">
        <v>3</v>
      </c>
      <c r="I2545" s="78" t="s">
        <v>3</v>
      </c>
      <c r="J2545" s="78" t="s">
        <v>3</v>
      </c>
      <c r="K2545" s="78" t="s">
        <v>3</v>
      </c>
      <c r="L2545" s="78" t="s">
        <v>3</v>
      </c>
      <c r="M2545" s="81">
        <f t="shared" si="925"/>
        <v>-3.83</v>
      </c>
      <c r="N2545" s="1"/>
    </row>
    <row r="2546" spans="3:14" x14ac:dyDescent="0.2">
      <c r="C2546" s="68" t="s">
        <v>843</v>
      </c>
      <c r="D2546" s="29"/>
      <c r="E2546" s="82" t="s">
        <v>3</v>
      </c>
      <c r="F2546" s="82" t="s">
        <v>3</v>
      </c>
      <c r="G2546" s="82" t="s">
        <v>3</v>
      </c>
      <c r="H2546" s="82" t="s">
        <v>3</v>
      </c>
      <c r="I2546" s="82" t="s">
        <v>3</v>
      </c>
      <c r="J2546" s="82" t="s">
        <v>3</v>
      </c>
      <c r="K2546" s="82" t="s">
        <v>3</v>
      </c>
      <c r="L2546" s="82" t="s">
        <v>3</v>
      </c>
      <c r="M2546" s="88">
        <f t="shared" si="925"/>
        <v>-3.33</v>
      </c>
      <c r="N2546" s="1"/>
    </row>
    <row r="2547" spans="3:14" x14ac:dyDescent="0.2">
      <c r="C2547" s="84" t="s">
        <v>828</v>
      </c>
      <c r="D2547" s="85"/>
      <c r="E2547" s="86" t="s">
        <v>3</v>
      </c>
      <c r="F2547" s="86" t="s">
        <v>3</v>
      </c>
      <c r="G2547" s="86" t="s">
        <v>3</v>
      </c>
      <c r="H2547" s="86" t="s">
        <v>3</v>
      </c>
      <c r="I2547" s="86" t="s">
        <v>3</v>
      </c>
      <c r="J2547" s="86" t="s">
        <v>3</v>
      </c>
      <c r="K2547" s="86" t="s">
        <v>3</v>
      </c>
      <c r="L2547" s="86" t="s">
        <v>3</v>
      </c>
      <c r="M2547" s="37">
        <f t="shared" si="925"/>
        <v>62.96</v>
      </c>
      <c r="N2547" s="1"/>
    </row>
    <row r="2548" spans="3:14" x14ac:dyDescent="0.2">
      <c r="C2548" s="9" t="s">
        <v>834</v>
      </c>
      <c r="E2548" s="35" t="s">
        <v>3</v>
      </c>
      <c r="F2548" s="35" t="s">
        <v>3</v>
      </c>
      <c r="G2548" s="35" t="s">
        <v>3</v>
      </c>
      <c r="H2548" s="35" t="s">
        <v>3</v>
      </c>
      <c r="I2548" s="35" t="s">
        <v>3</v>
      </c>
      <c r="J2548" s="35" t="s">
        <v>3</v>
      </c>
      <c r="K2548" s="35" t="s">
        <v>3</v>
      </c>
      <c r="L2548" s="35" t="s">
        <v>3</v>
      </c>
      <c r="M2548" s="37">
        <f t="shared" si="925"/>
        <v>2.4300000000000002</v>
      </c>
      <c r="N2548" s="1"/>
    </row>
    <row r="2549" spans="3:14" x14ac:dyDescent="0.2">
      <c r="C2549" s="9" t="s">
        <v>835</v>
      </c>
      <c r="E2549" s="35" t="s">
        <v>3</v>
      </c>
      <c r="F2549" s="35" t="s">
        <v>3</v>
      </c>
      <c r="G2549" s="35" t="s">
        <v>3</v>
      </c>
      <c r="H2549" s="35" t="s">
        <v>3</v>
      </c>
      <c r="I2549" s="35" t="s">
        <v>3</v>
      </c>
      <c r="J2549" s="35" t="s">
        <v>3</v>
      </c>
      <c r="K2549" s="35" t="s">
        <v>3</v>
      </c>
      <c r="L2549" s="35" t="s">
        <v>3</v>
      </c>
      <c r="M2549" s="37">
        <f t="shared" si="925"/>
        <v>2.9699999999999998</v>
      </c>
      <c r="N2549" s="1"/>
    </row>
    <row r="2550" spans="3:14" x14ac:dyDescent="0.2">
      <c r="C2550" s="22" t="s">
        <v>836</v>
      </c>
      <c r="D2550" s="14"/>
      <c r="E2550" s="78" t="s">
        <v>3</v>
      </c>
      <c r="F2550" s="78" t="s">
        <v>3</v>
      </c>
      <c r="G2550" s="78" t="s">
        <v>3</v>
      </c>
      <c r="H2550" s="78" t="s">
        <v>3</v>
      </c>
      <c r="I2550" s="78" t="s">
        <v>3</v>
      </c>
      <c r="J2550" s="78" t="s">
        <v>3</v>
      </c>
      <c r="K2550" s="78" t="s">
        <v>3</v>
      </c>
      <c r="L2550" s="78" t="s">
        <v>3</v>
      </c>
      <c r="M2550" s="81">
        <f t="shared" si="925"/>
        <v>0.01</v>
      </c>
      <c r="N2550" s="1"/>
    </row>
    <row r="2551" spans="3:14" x14ac:dyDescent="0.2">
      <c r="C2551" s="9" t="s">
        <v>837</v>
      </c>
      <c r="E2551" s="35" t="s">
        <v>3</v>
      </c>
      <c r="F2551" s="35" t="s">
        <v>3</v>
      </c>
      <c r="G2551" s="35" t="s">
        <v>3</v>
      </c>
      <c r="H2551" s="35" t="s">
        <v>3</v>
      </c>
      <c r="I2551" s="35" t="s">
        <v>3</v>
      </c>
      <c r="J2551" s="35" t="s">
        <v>3</v>
      </c>
      <c r="K2551" s="35" t="s">
        <v>3</v>
      </c>
      <c r="L2551" s="35" t="s">
        <v>3</v>
      </c>
      <c r="M2551" s="37">
        <f t="shared" si="925"/>
        <v>57.55</v>
      </c>
      <c r="N2551" s="1"/>
    </row>
    <row r="2552" spans="3:14" x14ac:dyDescent="0.2">
      <c r="C2552" s="12"/>
      <c r="E2552" s="35"/>
      <c r="F2552" s="44"/>
      <c r="G2552" s="44"/>
      <c r="H2552" s="44"/>
      <c r="I2552" s="44"/>
      <c r="J2552" s="44"/>
      <c r="K2552" s="44"/>
      <c r="L2552" s="44"/>
      <c r="N2552" s="1"/>
    </row>
    <row r="2553" spans="3:14" x14ac:dyDescent="0.2">
      <c r="C2553" s="9" t="s">
        <v>845</v>
      </c>
      <c r="E2553" s="35" t="s">
        <v>3</v>
      </c>
      <c r="F2553" s="35" t="s">
        <v>3</v>
      </c>
      <c r="G2553" s="35" t="s">
        <v>3</v>
      </c>
      <c r="H2553" s="35" t="s">
        <v>3</v>
      </c>
      <c r="I2553" s="35" t="s">
        <v>3</v>
      </c>
      <c r="J2553" s="35" t="s">
        <v>3</v>
      </c>
      <c r="K2553" s="35" t="s">
        <v>3</v>
      </c>
      <c r="L2553" s="35" t="s">
        <v>3</v>
      </c>
      <c r="M2553" s="1">
        <v>0.77</v>
      </c>
    </row>
    <row r="2554" spans="3:14" x14ac:dyDescent="0.2">
      <c r="C2554" s="9" t="s">
        <v>805</v>
      </c>
      <c r="E2554" s="35" t="s">
        <v>3</v>
      </c>
      <c r="F2554" s="35" t="s">
        <v>3</v>
      </c>
      <c r="G2554" s="35" t="s">
        <v>3</v>
      </c>
      <c r="H2554" s="35" t="s">
        <v>3</v>
      </c>
      <c r="I2554" s="35" t="s">
        <v>3</v>
      </c>
      <c r="J2554" s="35" t="s">
        <v>3</v>
      </c>
      <c r="K2554" s="35" t="s">
        <v>3</v>
      </c>
      <c r="L2554" s="35" t="s">
        <v>3</v>
      </c>
      <c r="M2554" s="1">
        <v>0</v>
      </c>
      <c r="N2554" s="1"/>
    </row>
    <row r="2555" spans="3:14" x14ac:dyDescent="0.2">
      <c r="C2555" s="9" t="s">
        <v>806</v>
      </c>
      <c r="E2555" s="35" t="s">
        <v>3</v>
      </c>
      <c r="F2555" s="35" t="s">
        <v>3</v>
      </c>
      <c r="G2555" s="35" t="s">
        <v>3</v>
      </c>
      <c r="H2555" s="35" t="s">
        <v>3</v>
      </c>
      <c r="I2555" s="35" t="s">
        <v>3</v>
      </c>
      <c r="J2555" s="35" t="s">
        <v>3</v>
      </c>
      <c r="K2555" s="35" t="s">
        <v>3</v>
      </c>
      <c r="L2555" s="35" t="s">
        <v>3</v>
      </c>
      <c r="M2555" s="1">
        <v>5.79</v>
      </c>
      <c r="N2555" s="1"/>
    </row>
    <row r="2556" spans="3:14" x14ac:dyDescent="0.2">
      <c r="C2556" s="9" t="s">
        <v>807</v>
      </c>
      <c r="E2556" s="35" t="s">
        <v>3</v>
      </c>
      <c r="F2556" s="35" t="s">
        <v>3</v>
      </c>
      <c r="G2556" s="35" t="s">
        <v>3</v>
      </c>
      <c r="H2556" s="35" t="s">
        <v>3</v>
      </c>
      <c r="I2556" s="35" t="s">
        <v>3</v>
      </c>
      <c r="J2556" s="35" t="s">
        <v>3</v>
      </c>
      <c r="K2556" s="35" t="s">
        <v>3</v>
      </c>
      <c r="L2556" s="35" t="s">
        <v>3</v>
      </c>
      <c r="M2556" s="1">
        <v>12.85</v>
      </c>
      <c r="N2556" s="1"/>
    </row>
    <row r="2557" spans="3:14" x14ac:dyDescent="0.2">
      <c r="C2557" s="9" t="s">
        <v>808</v>
      </c>
      <c r="E2557" s="35" t="s">
        <v>3</v>
      </c>
      <c r="F2557" s="35" t="s">
        <v>3</v>
      </c>
      <c r="G2557" s="35" t="s">
        <v>3</v>
      </c>
      <c r="H2557" s="35" t="s">
        <v>3</v>
      </c>
      <c r="I2557" s="35" t="s">
        <v>3</v>
      </c>
      <c r="J2557" s="35" t="s">
        <v>3</v>
      </c>
      <c r="K2557" s="35" t="s">
        <v>3</v>
      </c>
      <c r="L2557" s="35" t="s">
        <v>3</v>
      </c>
      <c r="M2557" s="1">
        <v>0.31</v>
      </c>
      <c r="N2557" s="1"/>
    </row>
    <row r="2558" spans="3:14" x14ac:dyDescent="0.2">
      <c r="C2558" s="9" t="s">
        <v>809</v>
      </c>
      <c r="E2558" s="35" t="s">
        <v>3</v>
      </c>
      <c r="F2558" s="35" t="s">
        <v>3</v>
      </c>
      <c r="G2558" s="35" t="s">
        <v>3</v>
      </c>
      <c r="H2558" s="35" t="s">
        <v>3</v>
      </c>
      <c r="I2558" s="35" t="s">
        <v>3</v>
      </c>
      <c r="J2558" s="35" t="s">
        <v>3</v>
      </c>
      <c r="K2558" s="35" t="s">
        <v>3</v>
      </c>
      <c r="L2558" s="35" t="s">
        <v>3</v>
      </c>
      <c r="M2558" s="1">
        <v>2.2000000000000002</v>
      </c>
      <c r="N2558" s="1"/>
    </row>
    <row r="2559" spans="3:14" x14ac:dyDescent="0.2">
      <c r="C2559" s="9" t="s">
        <v>810</v>
      </c>
      <c r="E2559" s="35" t="s">
        <v>3</v>
      </c>
      <c r="F2559" s="35" t="s">
        <v>3</v>
      </c>
      <c r="G2559" s="35" t="s">
        <v>3</v>
      </c>
      <c r="H2559" s="35" t="s">
        <v>3</v>
      </c>
      <c r="I2559" s="35" t="s">
        <v>3</v>
      </c>
      <c r="J2559" s="35" t="s">
        <v>3</v>
      </c>
      <c r="K2559" s="35" t="s">
        <v>3</v>
      </c>
      <c r="L2559" s="35" t="s">
        <v>3</v>
      </c>
      <c r="M2559" s="1">
        <v>2.1</v>
      </c>
      <c r="N2559" s="1"/>
    </row>
    <row r="2560" spans="3:14" x14ac:dyDescent="0.2">
      <c r="C2560" s="9" t="s">
        <v>811</v>
      </c>
      <c r="E2560" s="35" t="s">
        <v>3</v>
      </c>
      <c r="F2560" s="35" t="s">
        <v>3</v>
      </c>
      <c r="G2560" s="35" t="s">
        <v>3</v>
      </c>
      <c r="H2560" s="35" t="s">
        <v>3</v>
      </c>
      <c r="I2560" s="35" t="s">
        <v>3</v>
      </c>
      <c r="J2560" s="35" t="s">
        <v>3</v>
      </c>
      <c r="K2560" s="35" t="s">
        <v>3</v>
      </c>
      <c r="L2560" s="35" t="s">
        <v>3</v>
      </c>
      <c r="M2560" s="1">
        <v>3.49</v>
      </c>
      <c r="N2560" s="1"/>
    </row>
    <row r="2561" spans="3:14" x14ac:dyDescent="0.2">
      <c r="C2561" s="9" t="s">
        <v>812</v>
      </c>
      <c r="E2561" s="35" t="s">
        <v>3</v>
      </c>
      <c r="F2561" s="35" t="s">
        <v>3</v>
      </c>
      <c r="G2561" s="35" t="s">
        <v>3</v>
      </c>
      <c r="H2561" s="35" t="s">
        <v>3</v>
      </c>
      <c r="I2561" s="35" t="s">
        <v>3</v>
      </c>
      <c r="J2561" s="35" t="s">
        <v>3</v>
      </c>
      <c r="K2561" s="35" t="s">
        <v>3</v>
      </c>
      <c r="L2561" s="35" t="s">
        <v>3</v>
      </c>
      <c r="M2561" s="1">
        <v>2.2599999999999998</v>
      </c>
      <c r="N2561" s="1"/>
    </row>
    <row r="2562" spans="3:14" x14ac:dyDescent="0.2">
      <c r="C2562" s="9" t="s">
        <v>813</v>
      </c>
      <c r="E2562" s="35" t="s">
        <v>3</v>
      </c>
      <c r="F2562" s="35" t="s">
        <v>3</v>
      </c>
      <c r="G2562" s="35" t="s">
        <v>3</v>
      </c>
      <c r="H2562" s="35" t="s">
        <v>3</v>
      </c>
      <c r="I2562" s="35" t="s">
        <v>3</v>
      </c>
      <c r="J2562" s="35" t="s">
        <v>3</v>
      </c>
      <c r="K2562" s="35" t="s">
        <v>3</v>
      </c>
      <c r="L2562" s="35" t="s">
        <v>3</v>
      </c>
      <c r="M2562" s="1">
        <v>3.33</v>
      </c>
      <c r="N2562" s="1"/>
    </row>
    <row r="2563" spans="3:14" x14ac:dyDescent="0.2">
      <c r="C2563" s="9" t="s">
        <v>814</v>
      </c>
      <c r="E2563" s="35" t="s">
        <v>3</v>
      </c>
      <c r="F2563" s="35" t="s">
        <v>3</v>
      </c>
      <c r="G2563" s="35" t="s">
        <v>3</v>
      </c>
      <c r="H2563" s="35" t="s">
        <v>3</v>
      </c>
      <c r="I2563" s="35" t="s">
        <v>3</v>
      </c>
      <c r="J2563" s="35" t="s">
        <v>3</v>
      </c>
      <c r="K2563" s="35" t="s">
        <v>3</v>
      </c>
      <c r="L2563" s="35" t="s">
        <v>3</v>
      </c>
      <c r="M2563" s="1">
        <v>0</v>
      </c>
      <c r="N2563" s="1"/>
    </row>
    <row r="2564" spans="3:14" x14ac:dyDescent="0.2">
      <c r="C2564" s="9" t="s">
        <v>815</v>
      </c>
      <c r="E2564" s="35" t="s">
        <v>3</v>
      </c>
      <c r="F2564" s="35" t="s">
        <v>3</v>
      </c>
      <c r="G2564" s="35" t="s">
        <v>3</v>
      </c>
      <c r="H2564" s="35" t="s">
        <v>3</v>
      </c>
      <c r="I2564" s="35" t="s">
        <v>3</v>
      </c>
      <c r="J2564" s="35" t="s">
        <v>3</v>
      </c>
      <c r="K2564" s="35" t="s">
        <v>3</v>
      </c>
      <c r="L2564" s="35" t="s">
        <v>3</v>
      </c>
      <c r="M2564" s="1">
        <v>0.5</v>
      </c>
      <c r="N2564" s="1"/>
    </row>
    <row r="2565" spans="3:14" x14ac:dyDescent="0.2">
      <c r="C2565" s="22" t="s">
        <v>838</v>
      </c>
      <c r="D2565" s="14"/>
      <c r="E2565" s="78" t="s">
        <v>3</v>
      </c>
      <c r="F2565" s="78" t="s">
        <v>3</v>
      </c>
      <c r="G2565" s="78" t="s">
        <v>3</v>
      </c>
      <c r="H2565" s="78" t="s">
        <v>3</v>
      </c>
      <c r="I2565" s="78" t="s">
        <v>3</v>
      </c>
      <c r="J2565" s="78" t="s">
        <v>3</v>
      </c>
      <c r="K2565" s="78" t="s">
        <v>3</v>
      </c>
      <c r="L2565" s="78" t="s">
        <v>3</v>
      </c>
      <c r="M2565" s="80">
        <v>-0.4</v>
      </c>
      <c r="N2565" s="1"/>
    </row>
    <row r="2566" spans="3:14" x14ac:dyDescent="0.2">
      <c r="C2566" s="68" t="s">
        <v>843</v>
      </c>
      <c r="D2566" s="29"/>
      <c r="E2566" s="82"/>
      <c r="F2566" s="82"/>
      <c r="G2566" s="82"/>
      <c r="H2566" s="82"/>
      <c r="I2566" s="82"/>
      <c r="J2566" s="82"/>
      <c r="K2566" s="82"/>
      <c r="L2566" s="82"/>
      <c r="M2566" s="83">
        <f>SUM(M2564:M2565)</f>
        <v>9.9999999999999978E-2</v>
      </c>
      <c r="N2566" s="1"/>
    </row>
    <row r="2567" spans="3:14" x14ac:dyDescent="0.2">
      <c r="C2567" s="84" t="s">
        <v>827</v>
      </c>
      <c r="D2567" s="85"/>
      <c r="E2567" s="86" t="s">
        <v>3</v>
      </c>
      <c r="F2567" s="86" t="s">
        <v>3</v>
      </c>
      <c r="G2567" s="86" t="s">
        <v>3</v>
      </c>
      <c r="H2567" s="86" t="s">
        <v>3</v>
      </c>
      <c r="I2567" s="86" t="s">
        <v>3</v>
      </c>
      <c r="J2567" s="86" t="s">
        <v>3</v>
      </c>
      <c r="K2567" s="86" t="s">
        <v>3</v>
      </c>
      <c r="L2567" s="86" t="s">
        <v>3</v>
      </c>
      <c r="M2567" s="87">
        <f>SUM(M2553:M2563)+M2566</f>
        <v>33.199999999999996</v>
      </c>
      <c r="N2567" s="1"/>
    </row>
    <row r="2568" spans="3:14" x14ac:dyDescent="0.2">
      <c r="C2568" s="9" t="s">
        <v>839</v>
      </c>
      <c r="E2568" s="35" t="s">
        <v>3</v>
      </c>
      <c r="F2568" s="35" t="s">
        <v>3</v>
      </c>
      <c r="G2568" s="35" t="s">
        <v>3</v>
      </c>
      <c r="H2568" s="35" t="s">
        <v>3</v>
      </c>
      <c r="I2568" s="35" t="s">
        <v>3</v>
      </c>
      <c r="J2568" s="35" t="s">
        <v>3</v>
      </c>
      <c r="K2568" s="35" t="s">
        <v>3</v>
      </c>
      <c r="L2568" s="35" t="s">
        <v>3</v>
      </c>
      <c r="M2568" s="38">
        <v>0.1</v>
      </c>
      <c r="N2568" s="1"/>
    </row>
    <row r="2569" spans="3:14" x14ac:dyDescent="0.2">
      <c r="C2569" s="9" t="s">
        <v>840</v>
      </c>
      <c r="E2569" s="35" t="s">
        <v>3</v>
      </c>
      <c r="F2569" s="35" t="s">
        <v>3</v>
      </c>
      <c r="G2569" s="35" t="s">
        <v>3</v>
      </c>
      <c r="H2569" s="35" t="s">
        <v>3</v>
      </c>
      <c r="I2569" s="35" t="s">
        <v>3</v>
      </c>
      <c r="J2569" s="35" t="s">
        <v>3</v>
      </c>
      <c r="K2569" s="35" t="s">
        <v>3</v>
      </c>
      <c r="L2569" s="35" t="s">
        <v>3</v>
      </c>
      <c r="M2569" s="38">
        <v>1.56</v>
      </c>
      <c r="N2569" s="1"/>
    </row>
    <row r="2570" spans="3:14" x14ac:dyDescent="0.2">
      <c r="C2570" s="22" t="s">
        <v>841</v>
      </c>
      <c r="D2570" s="14"/>
      <c r="E2570" s="78" t="s">
        <v>3</v>
      </c>
      <c r="F2570" s="78" t="s">
        <v>3</v>
      </c>
      <c r="G2570" s="78" t="s">
        <v>3</v>
      </c>
      <c r="H2570" s="78" t="s">
        <v>3</v>
      </c>
      <c r="I2570" s="78" t="s">
        <v>3</v>
      </c>
      <c r="J2570" s="78" t="s">
        <v>3</v>
      </c>
      <c r="K2570" s="78" t="s">
        <v>3</v>
      </c>
      <c r="L2570" s="78" t="s">
        <v>3</v>
      </c>
      <c r="M2570" s="89">
        <v>0</v>
      </c>
      <c r="N2570" s="1"/>
    </row>
    <row r="2571" spans="3:14" x14ac:dyDescent="0.2">
      <c r="C2571" s="9" t="s">
        <v>842</v>
      </c>
      <c r="E2571" s="35" t="s">
        <v>3</v>
      </c>
      <c r="F2571" s="35" t="s">
        <v>3</v>
      </c>
      <c r="G2571" s="35" t="s">
        <v>3</v>
      </c>
      <c r="H2571" s="35" t="s">
        <v>3</v>
      </c>
      <c r="I2571" s="35" t="s">
        <v>3</v>
      </c>
      <c r="J2571" s="35" t="s">
        <v>3</v>
      </c>
      <c r="K2571" s="35" t="s">
        <v>3</v>
      </c>
      <c r="L2571" s="35" t="s">
        <v>3</v>
      </c>
      <c r="M2571" s="37">
        <f>M2567-SUM(M2568:M2570)</f>
        <v>31.539999999999996</v>
      </c>
      <c r="N2571" s="1"/>
    </row>
    <row r="2572" spans="3:14" x14ac:dyDescent="0.2">
      <c r="C2572" s="9"/>
      <c r="E2572" s="35"/>
      <c r="F2572" s="35"/>
      <c r="G2572" s="35"/>
      <c r="H2572" s="35"/>
      <c r="I2572" s="35"/>
      <c r="J2572" s="35"/>
      <c r="K2572" s="35"/>
      <c r="L2572" s="35"/>
      <c r="M2572" s="37"/>
      <c r="N2572" s="1"/>
    </row>
    <row r="2573" spans="3:14" x14ac:dyDescent="0.2">
      <c r="C2573" s="9" t="s">
        <v>844</v>
      </c>
      <c r="E2573" s="35" t="s">
        <v>3</v>
      </c>
      <c r="F2573" s="35" t="s">
        <v>3</v>
      </c>
      <c r="G2573" s="35" t="s">
        <v>3</v>
      </c>
      <c r="H2573" s="35" t="s">
        <v>3</v>
      </c>
      <c r="I2573" s="35" t="s">
        <v>3</v>
      </c>
      <c r="J2573" s="35" t="s">
        <v>3</v>
      </c>
      <c r="K2573" s="35" t="s">
        <v>3</v>
      </c>
      <c r="L2573" s="35" t="s">
        <v>3</v>
      </c>
      <c r="M2573" s="1">
        <v>0.86</v>
      </c>
    </row>
    <row r="2574" spans="3:14" x14ac:dyDescent="0.2">
      <c r="C2574" s="9" t="s">
        <v>794</v>
      </c>
      <c r="E2574" s="35" t="s">
        <v>3</v>
      </c>
      <c r="F2574" s="35" t="s">
        <v>3</v>
      </c>
      <c r="G2574" s="35" t="s">
        <v>3</v>
      </c>
      <c r="H2574" s="35" t="s">
        <v>3</v>
      </c>
      <c r="I2574" s="35" t="s">
        <v>3</v>
      </c>
      <c r="J2574" s="35" t="s">
        <v>3</v>
      </c>
      <c r="K2574" s="35" t="s">
        <v>3</v>
      </c>
      <c r="L2574" s="35" t="s">
        <v>3</v>
      </c>
      <c r="M2574" s="1">
        <v>0</v>
      </c>
      <c r="N2574" s="1"/>
    </row>
    <row r="2575" spans="3:14" x14ac:dyDescent="0.2">
      <c r="C2575" s="9" t="s">
        <v>795</v>
      </c>
      <c r="E2575" s="35" t="s">
        <v>3</v>
      </c>
      <c r="F2575" s="35" t="s">
        <v>3</v>
      </c>
      <c r="G2575" s="35" t="s">
        <v>3</v>
      </c>
      <c r="H2575" s="35" t="s">
        <v>3</v>
      </c>
      <c r="I2575" s="35" t="s">
        <v>3</v>
      </c>
      <c r="J2575" s="35" t="s">
        <v>3</v>
      </c>
      <c r="K2575" s="35" t="s">
        <v>3</v>
      </c>
      <c r="L2575" s="35" t="s">
        <v>3</v>
      </c>
      <c r="M2575" s="1">
        <v>10.81</v>
      </c>
      <c r="N2575" s="1"/>
    </row>
    <row r="2576" spans="3:14" x14ac:dyDescent="0.2">
      <c r="C2576" s="9" t="s">
        <v>796</v>
      </c>
      <c r="E2576" s="35" t="s">
        <v>3</v>
      </c>
      <c r="F2576" s="35" t="s">
        <v>3</v>
      </c>
      <c r="G2576" s="35" t="s">
        <v>3</v>
      </c>
      <c r="H2576" s="35" t="s">
        <v>3</v>
      </c>
      <c r="I2576" s="35" t="s">
        <v>3</v>
      </c>
      <c r="J2576" s="35" t="s">
        <v>3</v>
      </c>
      <c r="K2576" s="35" t="s">
        <v>3</v>
      </c>
      <c r="L2576" s="35" t="s">
        <v>3</v>
      </c>
      <c r="M2576" s="1">
        <v>6.82</v>
      </c>
      <c r="N2576" s="1"/>
    </row>
    <row r="2577" spans="3:14" x14ac:dyDescent="0.2">
      <c r="C2577" s="9" t="s">
        <v>797</v>
      </c>
      <c r="E2577" s="35" t="s">
        <v>3</v>
      </c>
      <c r="F2577" s="35" t="s">
        <v>3</v>
      </c>
      <c r="G2577" s="35" t="s">
        <v>3</v>
      </c>
      <c r="H2577" s="35" t="s">
        <v>3</v>
      </c>
      <c r="I2577" s="35" t="s">
        <v>3</v>
      </c>
      <c r="J2577" s="35" t="s">
        <v>3</v>
      </c>
      <c r="K2577" s="35" t="s">
        <v>3</v>
      </c>
      <c r="L2577" s="35" t="s">
        <v>3</v>
      </c>
      <c r="M2577" s="1">
        <v>2.0699999999999998</v>
      </c>
      <c r="N2577" s="1"/>
    </row>
    <row r="2578" spans="3:14" x14ac:dyDescent="0.2">
      <c r="C2578" s="9" t="s">
        <v>798</v>
      </c>
      <c r="E2578" s="35" t="s">
        <v>3</v>
      </c>
      <c r="F2578" s="35" t="s">
        <v>3</v>
      </c>
      <c r="G2578" s="35" t="s">
        <v>3</v>
      </c>
      <c r="H2578" s="35" t="s">
        <v>3</v>
      </c>
      <c r="I2578" s="35" t="s">
        <v>3</v>
      </c>
      <c r="J2578" s="35" t="s">
        <v>3</v>
      </c>
      <c r="K2578" s="35" t="s">
        <v>3</v>
      </c>
      <c r="L2578" s="35" t="s">
        <v>3</v>
      </c>
      <c r="M2578" s="1">
        <v>2.21</v>
      </c>
      <c r="N2578" s="1"/>
    </row>
    <row r="2579" spans="3:14" x14ac:dyDescent="0.2">
      <c r="C2579" s="9" t="s">
        <v>799</v>
      </c>
      <c r="E2579" s="35" t="s">
        <v>3</v>
      </c>
      <c r="F2579" s="35" t="s">
        <v>3</v>
      </c>
      <c r="G2579" s="35" t="s">
        <v>3</v>
      </c>
      <c r="H2579" s="35" t="s">
        <v>3</v>
      </c>
      <c r="I2579" s="35" t="s">
        <v>3</v>
      </c>
      <c r="J2579" s="35" t="s">
        <v>3</v>
      </c>
      <c r="K2579" s="35" t="s">
        <v>3</v>
      </c>
      <c r="L2579" s="35" t="s">
        <v>3</v>
      </c>
      <c r="M2579" s="1">
        <v>0.71</v>
      </c>
      <c r="N2579" s="1"/>
    </row>
    <row r="2580" spans="3:14" x14ac:dyDescent="0.2">
      <c r="C2580" s="9" t="s">
        <v>803</v>
      </c>
      <c r="E2580" s="35" t="s">
        <v>3</v>
      </c>
      <c r="F2580" s="35" t="s">
        <v>3</v>
      </c>
      <c r="G2580" s="35" t="s">
        <v>3</v>
      </c>
      <c r="H2580" s="35" t="s">
        <v>3</v>
      </c>
      <c r="I2580" s="35" t="s">
        <v>3</v>
      </c>
      <c r="J2580" s="35" t="s">
        <v>3</v>
      </c>
      <c r="K2580" s="35" t="s">
        <v>3</v>
      </c>
      <c r="L2580" s="35" t="s">
        <v>3</v>
      </c>
      <c r="M2580" s="1">
        <v>7.63</v>
      </c>
      <c r="N2580" s="1"/>
    </row>
    <row r="2581" spans="3:14" x14ac:dyDescent="0.2">
      <c r="C2581" s="9" t="s">
        <v>800</v>
      </c>
      <c r="E2581" s="35" t="s">
        <v>3</v>
      </c>
      <c r="F2581" s="35" t="s">
        <v>3</v>
      </c>
      <c r="G2581" s="35" t="s">
        <v>3</v>
      </c>
      <c r="H2581" s="35" t="s">
        <v>3</v>
      </c>
      <c r="I2581" s="35" t="s">
        <v>3</v>
      </c>
      <c r="J2581" s="35" t="s">
        <v>3</v>
      </c>
      <c r="K2581" s="35" t="s">
        <v>3</v>
      </c>
      <c r="L2581" s="35" t="s">
        <v>3</v>
      </c>
      <c r="M2581" s="1">
        <v>2.0099999999999998</v>
      </c>
      <c r="N2581" s="1"/>
    </row>
    <row r="2582" spans="3:14" x14ac:dyDescent="0.2">
      <c r="C2582" s="9" t="s">
        <v>801</v>
      </c>
      <c r="E2582" s="35" t="s">
        <v>3</v>
      </c>
      <c r="F2582" s="35" t="s">
        <v>3</v>
      </c>
      <c r="G2582" s="35" t="s">
        <v>3</v>
      </c>
      <c r="H2582" s="35" t="s">
        <v>3</v>
      </c>
      <c r="I2582" s="35" t="s">
        <v>3</v>
      </c>
      <c r="J2582" s="35" t="s">
        <v>3</v>
      </c>
      <c r="K2582" s="35" t="s">
        <v>3</v>
      </c>
      <c r="L2582" s="35" t="s">
        <v>3</v>
      </c>
      <c r="M2582" s="1">
        <v>7.0000000000000007E-2</v>
      </c>
      <c r="N2582" s="1"/>
    </row>
    <row r="2583" spans="3:14" x14ac:dyDescent="0.2">
      <c r="C2583" s="9" t="s">
        <v>802</v>
      </c>
      <c r="E2583" s="35" t="s">
        <v>3</v>
      </c>
      <c r="F2583" s="35" t="s">
        <v>3</v>
      </c>
      <c r="G2583" s="35" t="s">
        <v>3</v>
      </c>
      <c r="H2583" s="35" t="s">
        <v>3</v>
      </c>
      <c r="I2583" s="35" t="s">
        <v>3</v>
      </c>
      <c r="J2583" s="35" t="s">
        <v>3</v>
      </c>
      <c r="K2583" s="35" t="s">
        <v>3</v>
      </c>
      <c r="L2583" s="35" t="s">
        <v>3</v>
      </c>
      <c r="M2583" s="1">
        <v>0</v>
      </c>
      <c r="N2583" s="1"/>
    </row>
    <row r="2584" spans="3:14" x14ac:dyDescent="0.2">
      <c r="C2584" s="9" t="s">
        <v>804</v>
      </c>
      <c r="E2584" s="35" t="s">
        <v>3</v>
      </c>
      <c r="F2584" s="35" t="s">
        <v>3</v>
      </c>
      <c r="G2584" s="35" t="s">
        <v>3</v>
      </c>
      <c r="H2584" s="35" t="s">
        <v>3</v>
      </c>
      <c r="I2584" s="35" t="s">
        <v>3</v>
      </c>
      <c r="J2584" s="35" t="s">
        <v>3</v>
      </c>
      <c r="K2584" s="35" t="s">
        <v>3</v>
      </c>
      <c r="L2584" s="35" t="s">
        <v>3</v>
      </c>
      <c r="M2584" s="1">
        <v>0</v>
      </c>
      <c r="N2584" s="1"/>
    </row>
    <row r="2585" spans="3:14" x14ac:dyDescent="0.2">
      <c r="C2585" s="22" t="s">
        <v>829</v>
      </c>
      <c r="D2585" s="14"/>
      <c r="E2585" s="78" t="s">
        <v>3</v>
      </c>
      <c r="F2585" s="78" t="s">
        <v>3</v>
      </c>
      <c r="G2585" s="78" t="s">
        <v>3</v>
      </c>
      <c r="H2585" s="78" t="s">
        <v>3</v>
      </c>
      <c r="I2585" s="78" t="s">
        <v>3</v>
      </c>
      <c r="J2585" s="78" t="s">
        <v>3</v>
      </c>
      <c r="K2585" s="78" t="s">
        <v>3</v>
      </c>
      <c r="L2585" s="78" t="s">
        <v>3</v>
      </c>
      <c r="M2585" s="80">
        <v>-3.43</v>
      </c>
      <c r="N2585" s="1"/>
    </row>
    <row r="2586" spans="3:14" x14ac:dyDescent="0.2">
      <c r="C2586" s="68" t="s">
        <v>843</v>
      </c>
      <c r="D2586" s="29"/>
      <c r="E2586" s="78" t="s">
        <v>3</v>
      </c>
      <c r="F2586" s="78" t="s">
        <v>3</v>
      </c>
      <c r="G2586" s="78" t="s">
        <v>3</v>
      </c>
      <c r="H2586" s="78" t="s">
        <v>3</v>
      </c>
      <c r="I2586" s="78" t="s">
        <v>3</v>
      </c>
      <c r="J2586" s="78" t="s">
        <v>3</v>
      </c>
      <c r="K2586" s="78" t="s">
        <v>3</v>
      </c>
      <c r="L2586" s="78" t="s">
        <v>3</v>
      </c>
      <c r="M2586" s="83">
        <f>SUM(M2584:M2585)</f>
        <v>-3.43</v>
      </c>
      <c r="N2586" s="1"/>
    </row>
    <row r="2587" spans="3:14" x14ac:dyDescent="0.2">
      <c r="C2587" s="84" t="s">
        <v>826</v>
      </c>
      <c r="D2587" s="85"/>
      <c r="E2587" s="86" t="s">
        <v>3</v>
      </c>
      <c r="F2587" s="86" t="s">
        <v>3</v>
      </c>
      <c r="G2587" s="86" t="s">
        <v>3</v>
      </c>
      <c r="H2587" s="86" t="s">
        <v>3</v>
      </c>
      <c r="I2587" s="86" t="s">
        <v>3</v>
      </c>
      <c r="J2587" s="86" t="s">
        <v>3</v>
      </c>
      <c r="K2587" s="86" t="s">
        <v>3</v>
      </c>
      <c r="L2587" s="86" t="s">
        <v>3</v>
      </c>
      <c r="M2587" s="87">
        <f>SUM(M2573:M2583)+M2586</f>
        <v>29.760000000000005</v>
      </c>
      <c r="N2587" s="1"/>
    </row>
    <row r="2588" spans="3:14" x14ac:dyDescent="0.2">
      <c r="C2588" s="9" t="s">
        <v>830</v>
      </c>
      <c r="E2588" s="35" t="s">
        <v>3</v>
      </c>
      <c r="F2588" s="35" t="s">
        <v>3</v>
      </c>
      <c r="G2588" s="35" t="s">
        <v>3</v>
      </c>
      <c r="H2588" s="35" t="s">
        <v>3</v>
      </c>
      <c r="I2588" s="35" t="s">
        <v>3</v>
      </c>
      <c r="J2588" s="35" t="s">
        <v>3</v>
      </c>
      <c r="K2588" s="35" t="s">
        <v>3</v>
      </c>
      <c r="L2588" s="35" t="s">
        <v>3</v>
      </c>
      <c r="M2588" s="52">
        <v>2.33</v>
      </c>
      <c r="N2588" s="1"/>
    </row>
    <row r="2589" spans="3:14" x14ac:dyDescent="0.2">
      <c r="C2589" s="9" t="s">
        <v>831</v>
      </c>
      <c r="E2589" s="35" t="s">
        <v>3</v>
      </c>
      <c r="F2589" s="35" t="s">
        <v>3</v>
      </c>
      <c r="G2589" s="35" t="s">
        <v>3</v>
      </c>
      <c r="H2589" s="35" t="s">
        <v>3</v>
      </c>
      <c r="I2589" s="35" t="s">
        <v>3</v>
      </c>
      <c r="J2589" s="35" t="s">
        <v>3</v>
      </c>
      <c r="K2589" s="35" t="s">
        <v>3</v>
      </c>
      <c r="L2589" s="35" t="s">
        <v>3</v>
      </c>
      <c r="M2589" s="52">
        <v>1.41</v>
      </c>
      <c r="N2589" s="1"/>
    </row>
    <row r="2590" spans="3:14" x14ac:dyDescent="0.2">
      <c r="C2590" s="22" t="s">
        <v>832</v>
      </c>
      <c r="D2590" s="14"/>
      <c r="E2590" s="78" t="s">
        <v>3</v>
      </c>
      <c r="F2590" s="78" t="s">
        <v>3</v>
      </c>
      <c r="G2590" s="78" t="s">
        <v>3</v>
      </c>
      <c r="H2590" s="78" t="s">
        <v>3</v>
      </c>
      <c r="I2590" s="78" t="s">
        <v>3</v>
      </c>
      <c r="J2590" s="78" t="s">
        <v>3</v>
      </c>
      <c r="K2590" s="78" t="s">
        <v>3</v>
      </c>
      <c r="L2590" s="78" t="s">
        <v>3</v>
      </c>
      <c r="M2590" s="79">
        <v>0.01</v>
      </c>
      <c r="N2590" s="1"/>
    </row>
    <row r="2591" spans="3:14" x14ac:dyDescent="0.2">
      <c r="C2591" s="9" t="s">
        <v>833</v>
      </c>
      <c r="E2591" s="35" t="s">
        <v>3</v>
      </c>
      <c r="F2591" s="35" t="s">
        <v>3</v>
      </c>
      <c r="G2591" s="35" t="s">
        <v>3</v>
      </c>
      <c r="H2591" s="35" t="s">
        <v>3</v>
      </c>
      <c r="I2591" s="35" t="s">
        <v>3</v>
      </c>
      <c r="J2591" s="35" t="s">
        <v>3</v>
      </c>
      <c r="K2591" s="35" t="s">
        <v>3</v>
      </c>
      <c r="L2591" s="35" t="s">
        <v>3</v>
      </c>
      <c r="M2591" s="37">
        <f>M2587-SUM(M2588:M2590)</f>
        <v>26.010000000000005</v>
      </c>
      <c r="N2591" s="1"/>
    </row>
    <row r="2592" spans="3:14" x14ac:dyDescent="0.2">
      <c r="C2592" s="12"/>
      <c r="E2592" s="35"/>
      <c r="F2592" s="44"/>
      <c r="G2592" s="44"/>
      <c r="H2592" s="44"/>
      <c r="I2592" s="44"/>
      <c r="J2592" s="44"/>
      <c r="K2592" s="44"/>
      <c r="L2592" s="44"/>
      <c r="N2592" s="1"/>
    </row>
    <row r="2593" spans="2:14" x14ac:dyDescent="0.2">
      <c r="C2593" s="9"/>
      <c r="E2593" s="35"/>
      <c r="F2593" s="35"/>
      <c r="G2593" s="35"/>
      <c r="H2593" s="35"/>
      <c r="I2593" s="35"/>
      <c r="J2593" s="35"/>
      <c r="K2593" s="35"/>
      <c r="L2593" s="35"/>
      <c r="M2593" s="37"/>
      <c r="N2593" s="1"/>
    </row>
    <row r="2594" spans="2:14" ht="15" x14ac:dyDescent="0.25">
      <c r="B2594" s="2" t="s">
        <v>964</v>
      </c>
      <c r="E2594" s="2"/>
      <c r="F2594" s="2"/>
      <c r="G2594" s="2"/>
      <c r="H2594" s="2"/>
      <c r="I2594" s="2"/>
      <c r="J2594" s="2"/>
      <c r="K2594" s="2"/>
      <c r="L2594" s="2"/>
      <c r="M2594" s="2"/>
    </row>
    <row r="2595" spans="2:14" ht="15" x14ac:dyDescent="0.25">
      <c r="C2595" s="13" t="s">
        <v>128</v>
      </c>
      <c r="E2595" s="2">
        <v>2010</v>
      </c>
      <c r="F2595" s="2">
        <v>2015</v>
      </c>
      <c r="G2595" s="2">
        <v>2020</v>
      </c>
      <c r="H2595" s="2">
        <v>2025</v>
      </c>
      <c r="I2595" s="2">
        <v>2030</v>
      </c>
      <c r="J2595" s="2">
        <v>2035</v>
      </c>
      <c r="K2595" s="2">
        <v>2040</v>
      </c>
      <c r="L2595" s="2">
        <v>2045</v>
      </c>
      <c r="M2595" s="2">
        <v>2050</v>
      </c>
    </row>
    <row r="2596" spans="2:14" x14ac:dyDescent="0.2">
      <c r="C2596" s="9" t="s">
        <v>885</v>
      </c>
      <c r="E2596" s="35" t="s">
        <v>3</v>
      </c>
      <c r="F2596" s="35" t="s">
        <v>3</v>
      </c>
      <c r="G2596" s="35" t="s">
        <v>3</v>
      </c>
      <c r="H2596" s="35" t="s">
        <v>3</v>
      </c>
      <c r="I2596" s="35" t="s">
        <v>3</v>
      </c>
      <c r="J2596" s="35" t="s">
        <v>3</v>
      </c>
      <c r="K2596" s="35" t="s">
        <v>3</v>
      </c>
      <c r="L2596" s="35" t="s">
        <v>3</v>
      </c>
      <c r="M2596" s="37">
        <f t="shared" ref="M2596:M2614" si="926">M2636+M2616</f>
        <v>1.63</v>
      </c>
    </row>
    <row r="2597" spans="2:14" x14ac:dyDescent="0.2">
      <c r="C2597" s="9" t="s">
        <v>886</v>
      </c>
      <c r="E2597" s="35" t="s">
        <v>3</v>
      </c>
      <c r="F2597" s="35" t="s">
        <v>3</v>
      </c>
      <c r="G2597" s="35" t="s">
        <v>3</v>
      </c>
      <c r="H2597" s="35" t="s">
        <v>3</v>
      </c>
      <c r="I2597" s="35" t="s">
        <v>3</v>
      </c>
      <c r="J2597" s="35" t="s">
        <v>3</v>
      </c>
      <c r="K2597" s="35" t="s">
        <v>3</v>
      </c>
      <c r="L2597" s="35" t="s">
        <v>3</v>
      </c>
      <c r="M2597" s="37">
        <f t="shared" si="926"/>
        <v>0</v>
      </c>
      <c r="N2597" s="1"/>
    </row>
    <row r="2598" spans="2:14" x14ac:dyDescent="0.2">
      <c r="C2598" s="9" t="s">
        <v>887</v>
      </c>
      <c r="E2598" s="35" t="s">
        <v>3</v>
      </c>
      <c r="F2598" s="35" t="s">
        <v>3</v>
      </c>
      <c r="G2598" s="35" t="s">
        <v>3</v>
      </c>
      <c r="H2598" s="35" t="s">
        <v>3</v>
      </c>
      <c r="I2598" s="35" t="s">
        <v>3</v>
      </c>
      <c r="J2598" s="35" t="s">
        <v>3</v>
      </c>
      <c r="K2598" s="35" t="s">
        <v>3</v>
      </c>
      <c r="L2598" s="35" t="s">
        <v>3</v>
      </c>
      <c r="M2598" s="37">
        <f t="shared" si="926"/>
        <v>16.600000000000001</v>
      </c>
      <c r="N2598" s="1"/>
    </row>
    <row r="2599" spans="2:14" x14ac:dyDescent="0.2">
      <c r="C2599" s="9" t="s">
        <v>888</v>
      </c>
      <c r="E2599" s="35" t="s">
        <v>3</v>
      </c>
      <c r="F2599" s="35" t="s">
        <v>3</v>
      </c>
      <c r="G2599" s="35" t="s">
        <v>3</v>
      </c>
      <c r="H2599" s="35" t="s">
        <v>3</v>
      </c>
      <c r="I2599" s="35" t="s">
        <v>3</v>
      </c>
      <c r="J2599" s="35" t="s">
        <v>3</v>
      </c>
      <c r="K2599" s="35" t="s">
        <v>3</v>
      </c>
      <c r="L2599" s="35" t="s">
        <v>3</v>
      </c>
      <c r="M2599" s="37">
        <f t="shared" si="926"/>
        <v>19.39</v>
      </c>
      <c r="N2599" s="1"/>
    </row>
    <row r="2600" spans="2:14" x14ac:dyDescent="0.2">
      <c r="C2600" s="9" t="s">
        <v>889</v>
      </c>
      <c r="E2600" s="35" t="s">
        <v>3</v>
      </c>
      <c r="F2600" s="35" t="s">
        <v>3</v>
      </c>
      <c r="G2600" s="35" t="s">
        <v>3</v>
      </c>
      <c r="H2600" s="35" t="s">
        <v>3</v>
      </c>
      <c r="I2600" s="35" t="s">
        <v>3</v>
      </c>
      <c r="J2600" s="35" t="s">
        <v>3</v>
      </c>
      <c r="K2600" s="35" t="s">
        <v>3</v>
      </c>
      <c r="L2600" s="35" t="s">
        <v>3</v>
      </c>
      <c r="M2600" s="37">
        <f t="shared" si="926"/>
        <v>1.03</v>
      </c>
      <c r="N2600" s="1"/>
    </row>
    <row r="2601" spans="2:14" x14ac:dyDescent="0.2">
      <c r="C2601" s="9" t="s">
        <v>890</v>
      </c>
      <c r="E2601" s="35" t="s">
        <v>3</v>
      </c>
      <c r="F2601" s="35" t="s">
        <v>3</v>
      </c>
      <c r="G2601" s="35" t="s">
        <v>3</v>
      </c>
      <c r="H2601" s="35" t="s">
        <v>3</v>
      </c>
      <c r="I2601" s="35" t="s">
        <v>3</v>
      </c>
      <c r="J2601" s="35" t="s">
        <v>3</v>
      </c>
      <c r="K2601" s="35" t="s">
        <v>3</v>
      </c>
      <c r="L2601" s="35" t="s">
        <v>3</v>
      </c>
      <c r="M2601" s="37">
        <f t="shared" si="926"/>
        <v>4.41</v>
      </c>
      <c r="N2601" s="1"/>
    </row>
    <row r="2602" spans="2:14" x14ac:dyDescent="0.2">
      <c r="C2602" s="9" t="s">
        <v>891</v>
      </c>
      <c r="E2602" s="35" t="s">
        <v>3</v>
      </c>
      <c r="F2602" s="35" t="s">
        <v>3</v>
      </c>
      <c r="G2602" s="35" t="s">
        <v>3</v>
      </c>
      <c r="H2602" s="35" t="s">
        <v>3</v>
      </c>
      <c r="I2602" s="35" t="s">
        <v>3</v>
      </c>
      <c r="J2602" s="35" t="s">
        <v>3</v>
      </c>
      <c r="K2602" s="35" t="s">
        <v>3</v>
      </c>
      <c r="L2602" s="35" t="s">
        <v>3</v>
      </c>
      <c r="M2602" s="37">
        <f t="shared" si="926"/>
        <v>1.76</v>
      </c>
      <c r="N2602" s="1"/>
    </row>
    <row r="2603" spans="2:14" x14ac:dyDescent="0.2">
      <c r="C2603" s="9" t="s">
        <v>892</v>
      </c>
      <c r="E2603" s="35" t="s">
        <v>3</v>
      </c>
      <c r="F2603" s="35" t="s">
        <v>3</v>
      </c>
      <c r="G2603" s="35" t="s">
        <v>3</v>
      </c>
      <c r="H2603" s="35" t="s">
        <v>3</v>
      </c>
      <c r="I2603" s="35" t="s">
        <v>3</v>
      </c>
      <c r="J2603" s="35" t="s">
        <v>3</v>
      </c>
      <c r="K2603" s="35" t="s">
        <v>3</v>
      </c>
      <c r="L2603" s="35" t="s">
        <v>3</v>
      </c>
      <c r="M2603" s="37">
        <f t="shared" si="926"/>
        <v>11.120000000000001</v>
      </c>
      <c r="N2603" s="1"/>
    </row>
    <row r="2604" spans="2:14" x14ac:dyDescent="0.2">
      <c r="C2604" s="9" t="s">
        <v>893</v>
      </c>
      <c r="E2604" s="35" t="s">
        <v>3</v>
      </c>
      <c r="F2604" s="35" t="s">
        <v>3</v>
      </c>
      <c r="G2604" s="35" t="s">
        <v>3</v>
      </c>
      <c r="H2604" s="35" t="s">
        <v>3</v>
      </c>
      <c r="I2604" s="35" t="s">
        <v>3</v>
      </c>
      <c r="J2604" s="35" t="s">
        <v>3</v>
      </c>
      <c r="K2604" s="35" t="s">
        <v>3</v>
      </c>
      <c r="L2604" s="35" t="s">
        <v>3</v>
      </c>
      <c r="M2604" s="37">
        <f t="shared" si="926"/>
        <v>4.2699999999999996</v>
      </c>
      <c r="N2604" s="1"/>
    </row>
    <row r="2605" spans="2:14" x14ac:dyDescent="0.2">
      <c r="C2605" s="9" t="s">
        <v>894</v>
      </c>
      <c r="E2605" s="35" t="s">
        <v>3</v>
      </c>
      <c r="F2605" s="35" t="s">
        <v>3</v>
      </c>
      <c r="G2605" s="35" t="s">
        <v>3</v>
      </c>
      <c r="H2605" s="35" t="s">
        <v>3</v>
      </c>
      <c r="I2605" s="35" t="s">
        <v>3</v>
      </c>
      <c r="J2605" s="35" t="s">
        <v>3</v>
      </c>
      <c r="K2605" s="35" t="s">
        <v>3</v>
      </c>
      <c r="L2605" s="35" t="s">
        <v>3</v>
      </c>
      <c r="M2605" s="37">
        <f t="shared" si="926"/>
        <v>15.540000000000001</v>
      </c>
      <c r="N2605" s="1"/>
    </row>
    <row r="2606" spans="2:14" x14ac:dyDescent="0.2">
      <c r="C2606" s="9" t="s">
        <v>895</v>
      </c>
      <c r="E2606" s="35" t="s">
        <v>3</v>
      </c>
      <c r="F2606" s="35" t="s">
        <v>3</v>
      </c>
      <c r="G2606" s="35" t="s">
        <v>3</v>
      </c>
      <c r="H2606" s="35" t="s">
        <v>3</v>
      </c>
      <c r="I2606" s="35" t="s">
        <v>3</v>
      </c>
      <c r="J2606" s="35" t="s">
        <v>3</v>
      </c>
      <c r="K2606" s="35" t="s">
        <v>3</v>
      </c>
      <c r="L2606" s="35" t="s">
        <v>3</v>
      </c>
      <c r="M2606" s="37">
        <f t="shared" si="926"/>
        <v>0</v>
      </c>
      <c r="N2606" s="1"/>
    </row>
    <row r="2607" spans="2:14" x14ac:dyDescent="0.2">
      <c r="C2607" s="9" t="s">
        <v>783</v>
      </c>
      <c r="E2607" s="35" t="s">
        <v>3</v>
      </c>
      <c r="F2607" s="35" t="s">
        <v>3</v>
      </c>
      <c r="G2607" s="35" t="s">
        <v>3</v>
      </c>
      <c r="H2607" s="35" t="s">
        <v>3</v>
      </c>
      <c r="I2607" s="35" t="s">
        <v>3</v>
      </c>
      <c r="J2607" s="35" t="s">
        <v>3</v>
      </c>
      <c r="K2607" s="35" t="s">
        <v>3</v>
      </c>
      <c r="L2607" s="35" t="s">
        <v>3</v>
      </c>
      <c r="M2607" s="37">
        <f t="shared" si="926"/>
        <v>3.15</v>
      </c>
      <c r="N2607" s="1"/>
    </row>
    <row r="2608" spans="2:14" x14ac:dyDescent="0.2">
      <c r="C2608" s="22" t="s">
        <v>185</v>
      </c>
      <c r="D2608" s="14"/>
      <c r="E2608" s="78" t="s">
        <v>3</v>
      </c>
      <c r="F2608" s="78" t="s">
        <v>3</v>
      </c>
      <c r="G2608" s="78" t="s">
        <v>3</v>
      </c>
      <c r="H2608" s="78" t="s">
        <v>3</v>
      </c>
      <c r="I2608" s="78" t="s">
        <v>3</v>
      </c>
      <c r="J2608" s="78" t="s">
        <v>3</v>
      </c>
      <c r="K2608" s="78" t="s">
        <v>3</v>
      </c>
      <c r="L2608" s="78" t="s">
        <v>3</v>
      </c>
      <c r="M2608" s="81">
        <f t="shared" si="926"/>
        <v>0</v>
      </c>
      <c r="N2608" s="1"/>
    </row>
    <row r="2609" spans="3:14" x14ac:dyDescent="0.2">
      <c r="C2609" s="68" t="s">
        <v>963</v>
      </c>
      <c r="D2609" s="29"/>
      <c r="E2609" s="82" t="s">
        <v>3</v>
      </c>
      <c r="F2609" s="82" t="s">
        <v>3</v>
      </c>
      <c r="G2609" s="82" t="s">
        <v>3</v>
      </c>
      <c r="H2609" s="82" t="s">
        <v>3</v>
      </c>
      <c r="I2609" s="82" t="s">
        <v>3</v>
      </c>
      <c r="J2609" s="82" t="s">
        <v>3</v>
      </c>
      <c r="K2609" s="82" t="s">
        <v>3</v>
      </c>
      <c r="L2609" s="82" t="s">
        <v>3</v>
      </c>
      <c r="M2609" s="88">
        <f t="shared" si="926"/>
        <v>3.15</v>
      </c>
      <c r="N2609" s="1"/>
    </row>
    <row r="2610" spans="3:14" x14ac:dyDescent="0.2">
      <c r="C2610" s="84" t="s">
        <v>896</v>
      </c>
      <c r="D2610" s="85"/>
      <c r="E2610" s="86" t="s">
        <v>3</v>
      </c>
      <c r="F2610" s="86" t="s">
        <v>3</v>
      </c>
      <c r="G2610" s="86" t="s">
        <v>3</v>
      </c>
      <c r="H2610" s="86" t="s">
        <v>3</v>
      </c>
      <c r="I2610" s="86" t="s">
        <v>3</v>
      </c>
      <c r="J2610" s="86" t="s">
        <v>3</v>
      </c>
      <c r="K2610" s="86" t="s">
        <v>3</v>
      </c>
      <c r="L2610" s="86" t="s">
        <v>3</v>
      </c>
      <c r="M2610" s="37">
        <f t="shared" si="926"/>
        <v>78.899999999999991</v>
      </c>
      <c r="N2610" s="1"/>
    </row>
    <row r="2611" spans="3:14" x14ac:dyDescent="0.2">
      <c r="C2611" s="9" t="s">
        <v>897</v>
      </c>
      <c r="E2611" s="35" t="s">
        <v>3</v>
      </c>
      <c r="F2611" s="35" t="s">
        <v>3</v>
      </c>
      <c r="G2611" s="35" t="s">
        <v>3</v>
      </c>
      <c r="H2611" s="35" t="s">
        <v>3</v>
      </c>
      <c r="I2611" s="35" t="s">
        <v>3</v>
      </c>
      <c r="J2611" s="35" t="s">
        <v>3</v>
      </c>
      <c r="K2611" s="35" t="s">
        <v>3</v>
      </c>
      <c r="L2611" s="35" t="s">
        <v>3</v>
      </c>
      <c r="M2611" s="37">
        <f t="shared" si="926"/>
        <v>0.64</v>
      </c>
      <c r="N2611" s="1"/>
    </row>
    <row r="2612" spans="3:14" x14ac:dyDescent="0.2">
      <c r="C2612" s="9" t="s">
        <v>898</v>
      </c>
      <c r="E2612" s="35" t="s">
        <v>3</v>
      </c>
      <c r="F2612" s="35" t="s">
        <v>3</v>
      </c>
      <c r="G2612" s="35" t="s">
        <v>3</v>
      </c>
      <c r="H2612" s="35" t="s">
        <v>3</v>
      </c>
      <c r="I2612" s="35" t="s">
        <v>3</v>
      </c>
      <c r="J2612" s="35" t="s">
        <v>3</v>
      </c>
      <c r="K2612" s="35" t="s">
        <v>3</v>
      </c>
      <c r="L2612" s="35" t="s">
        <v>3</v>
      </c>
      <c r="M2612" s="37">
        <f t="shared" si="926"/>
        <v>3.4699999999999998</v>
      </c>
      <c r="N2612" s="1"/>
    </row>
    <row r="2613" spans="3:14" x14ac:dyDescent="0.2">
      <c r="C2613" s="22" t="s">
        <v>899</v>
      </c>
      <c r="D2613" s="14"/>
      <c r="E2613" s="78" t="s">
        <v>3</v>
      </c>
      <c r="F2613" s="78" t="s">
        <v>3</v>
      </c>
      <c r="G2613" s="78" t="s">
        <v>3</v>
      </c>
      <c r="H2613" s="78" t="s">
        <v>3</v>
      </c>
      <c r="I2613" s="78" t="s">
        <v>3</v>
      </c>
      <c r="J2613" s="78" t="s">
        <v>3</v>
      </c>
      <c r="K2613" s="78" t="s">
        <v>3</v>
      </c>
      <c r="L2613" s="78" t="s">
        <v>3</v>
      </c>
      <c r="M2613" s="81">
        <f t="shared" si="926"/>
        <v>0</v>
      </c>
      <c r="N2613" s="1"/>
    </row>
    <row r="2614" spans="3:14" x14ac:dyDescent="0.2">
      <c r="C2614" s="9" t="s">
        <v>900</v>
      </c>
      <c r="E2614" s="35" t="s">
        <v>3</v>
      </c>
      <c r="F2614" s="35" t="s">
        <v>3</v>
      </c>
      <c r="G2614" s="35" t="s">
        <v>3</v>
      </c>
      <c r="H2614" s="35" t="s">
        <v>3</v>
      </c>
      <c r="I2614" s="35" t="s">
        <v>3</v>
      </c>
      <c r="J2614" s="35" t="s">
        <v>3</v>
      </c>
      <c r="K2614" s="35" t="s">
        <v>3</v>
      </c>
      <c r="L2614" s="35" t="s">
        <v>3</v>
      </c>
      <c r="M2614" s="37">
        <f t="shared" si="926"/>
        <v>74.789999999999992</v>
      </c>
      <c r="N2614" s="1"/>
    </row>
    <row r="2615" spans="3:14" x14ac:dyDescent="0.2">
      <c r="C2615" s="9"/>
      <c r="E2615" s="35"/>
      <c r="F2615" s="35"/>
      <c r="G2615" s="35"/>
      <c r="H2615" s="35"/>
      <c r="I2615" s="35"/>
      <c r="J2615" s="35"/>
      <c r="K2615" s="35"/>
      <c r="L2615" s="35"/>
      <c r="M2615" s="37"/>
      <c r="N2615" s="1"/>
    </row>
    <row r="2616" spans="3:14" x14ac:dyDescent="0.2">
      <c r="C2616" s="9" t="s">
        <v>867</v>
      </c>
      <c r="E2616" s="35" t="s">
        <v>3</v>
      </c>
      <c r="F2616" s="35" t="s">
        <v>3</v>
      </c>
      <c r="G2616" s="35" t="s">
        <v>3</v>
      </c>
      <c r="H2616" s="35" t="s">
        <v>3</v>
      </c>
      <c r="I2616" s="35" t="s">
        <v>3</v>
      </c>
      <c r="J2616" s="35" t="s">
        <v>3</v>
      </c>
      <c r="K2616" s="35" t="s">
        <v>3</v>
      </c>
      <c r="L2616" s="35" t="s">
        <v>3</v>
      </c>
      <c r="M2616" s="1">
        <v>0.77</v>
      </c>
    </row>
    <row r="2617" spans="3:14" x14ac:dyDescent="0.2">
      <c r="C2617" s="9" t="s">
        <v>868</v>
      </c>
      <c r="E2617" s="35" t="s">
        <v>3</v>
      </c>
      <c r="F2617" s="35" t="s">
        <v>3</v>
      </c>
      <c r="G2617" s="35" t="s">
        <v>3</v>
      </c>
      <c r="H2617" s="35" t="s">
        <v>3</v>
      </c>
      <c r="I2617" s="35" t="s">
        <v>3</v>
      </c>
      <c r="J2617" s="35" t="s">
        <v>3</v>
      </c>
      <c r="K2617" s="35" t="s">
        <v>3</v>
      </c>
      <c r="L2617" s="35" t="s">
        <v>3</v>
      </c>
      <c r="M2617" s="1">
        <v>0</v>
      </c>
      <c r="N2617" s="1"/>
    </row>
    <row r="2618" spans="3:14" x14ac:dyDescent="0.2">
      <c r="C2618" s="9" t="s">
        <v>869</v>
      </c>
      <c r="E2618" s="35" t="s">
        <v>3</v>
      </c>
      <c r="F2618" s="35" t="s">
        <v>3</v>
      </c>
      <c r="G2618" s="35" t="s">
        <v>3</v>
      </c>
      <c r="H2618" s="35" t="s">
        <v>3</v>
      </c>
      <c r="I2618" s="35" t="s">
        <v>3</v>
      </c>
      <c r="J2618" s="35" t="s">
        <v>3</v>
      </c>
      <c r="K2618" s="35" t="s">
        <v>3</v>
      </c>
      <c r="L2618" s="35" t="s">
        <v>3</v>
      </c>
      <c r="M2618" s="1">
        <v>5.79</v>
      </c>
      <c r="N2618" s="1"/>
    </row>
    <row r="2619" spans="3:14" x14ac:dyDescent="0.2">
      <c r="C2619" s="9" t="s">
        <v>870</v>
      </c>
      <c r="E2619" s="35" t="s">
        <v>3</v>
      </c>
      <c r="F2619" s="35" t="s">
        <v>3</v>
      </c>
      <c r="G2619" s="35" t="s">
        <v>3</v>
      </c>
      <c r="H2619" s="35" t="s">
        <v>3</v>
      </c>
      <c r="I2619" s="35" t="s">
        <v>3</v>
      </c>
      <c r="J2619" s="35" t="s">
        <v>3</v>
      </c>
      <c r="K2619" s="35" t="s">
        <v>3</v>
      </c>
      <c r="L2619" s="35" t="s">
        <v>3</v>
      </c>
      <c r="M2619" s="1">
        <v>8.5500000000000007</v>
      </c>
      <c r="N2619" s="1"/>
    </row>
    <row r="2620" spans="3:14" x14ac:dyDescent="0.2">
      <c r="C2620" s="9" t="s">
        <v>871</v>
      </c>
      <c r="E2620" s="35" t="s">
        <v>3</v>
      </c>
      <c r="F2620" s="35" t="s">
        <v>3</v>
      </c>
      <c r="G2620" s="35" t="s">
        <v>3</v>
      </c>
      <c r="H2620" s="35" t="s">
        <v>3</v>
      </c>
      <c r="I2620" s="35" t="s">
        <v>3</v>
      </c>
      <c r="J2620" s="35" t="s">
        <v>3</v>
      </c>
      <c r="K2620" s="35" t="s">
        <v>3</v>
      </c>
      <c r="L2620" s="35" t="s">
        <v>3</v>
      </c>
      <c r="M2620" s="1">
        <v>0.24</v>
      </c>
      <c r="N2620" s="1"/>
    </row>
    <row r="2621" spans="3:14" x14ac:dyDescent="0.2">
      <c r="C2621" s="9" t="s">
        <v>872</v>
      </c>
      <c r="E2621" s="35" t="s">
        <v>3</v>
      </c>
      <c r="F2621" s="35" t="s">
        <v>3</v>
      </c>
      <c r="G2621" s="35" t="s">
        <v>3</v>
      </c>
      <c r="H2621" s="35" t="s">
        <v>3</v>
      </c>
      <c r="I2621" s="35" t="s">
        <v>3</v>
      </c>
      <c r="J2621" s="35" t="s">
        <v>3</v>
      </c>
      <c r="K2621" s="35" t="s">
        <v>3</v>
      </c>
      <c r="L2621" s="35" t="s">
        <v>3</v>
      </c>
      <c r="M2621" s="1">
        <v>2.2000000000000002</v>
      </c>
      <c r="N2621" s="1"/>
    </row>
    <row r="2622" spans="3:14" x14ac:dyDescent="0.2">
      <c r="C2622" s="9" t="s">
        <v>873</v>
      </c>
      <c r="E2622" s="35" t="s">
        <v>3</v>
      </c>
      <c r="F2622" s="35" t="s">
        <v>3</v>
      </c>
      <c r="G2622" s="35" t="s">
        <v>3</v>
      </c>
      <c r="H2622" s="35" t="s">
        <v>3</v>
      </c>
      <c r="I2622" s="35" t="s">
        <v>3</v>
      </c>
      <c r="J2622" s="35" t="s">
        <v>3</v>
      </c>
      <c r="K2622" s="35" t="s">
        <v>3</v>
      </c>
      <c r="L2622" s="35" t="s">
        <v>3</v>
      </c>
      <c r="M2622" s="1">
        <v>1.31</v>
      </c>
      <c r="N2622" s="1"/>
    </row>
    <row r="2623" spans="3:14" x14ac:dyDescent="0.2">
      <c r="C2623" s="9" t="s">
        <v>874</v>
      </c>
      <c r="E2623" s="35" t="s">
        <v>3</v>
      </c>
      <c r="F2623" s="35" t="s">
        <v>3</v>
      </c>
      <c r="G2623" s="35" t="s">
        <v>3</v>
      </c>
      <c r="H2623" s="35" t="s">
        <v>3</v>
      </c>
      <c r="I2623" s="35" t="s">
        <v>3</v>
      </c>
      <c r="J2623" s="35" t="s">
        <v>3</v>
      </c>
      <c r="K2623" s="35" t="s">
        <v>3</v>
      </c>
      <c r="L2623" s="35" t="s">
        <v>3</v>
      </c>
      <c r="M2623" s="1">
        <v>3.49</v>
      </c>
      <c r="N2623" s="1"/>
    </row>
    <row r="2624" spans="3:14" x14ac:dyDescent="0.2">
      <c r="C2624" s="9" t="s">
        <v>875</v>
      </c>
      <c r="E2624" s="35" t="s">
        <v>3</v>
      </c>
      <c r="F2624" s="35" t="s">
        <v>3</v>
      </c>
      <c r="G2624" s="35" t="s">
        <v>3</v>
      </c>
      <c r="H2624" s="35" t="s">
        <v>3</v>
      </c>
      <c r="I2624" s="35" t="s">
        <v>3</v>
      </c>
      <c r="J2624" s="35" t="s">
        <v>3</v>
      </c>
      <c r="K2624" s="35" t="s">
        <v>3</v>
      </c>
      <c r="L2624" s="35" t="s">
        <v>3</v>
      </c>
      <c r="M2624" s="1">
        <v>2.2599999999999998</v>
      </c>
      <c r="N2624" s="1"/>
    </row>
    <row r="2625" spans="3:14" x14ac:dyDescent="0.2">
      <c r="C2625" s="9" t="s">
        <v>876</v>
      </c>
      <c r="E2625" s="35" t="s">
        <v>3</v>
      </c>
      <c r="F2625" s="35" t="s">
        <v>3</v>
      </c>
      <c r="G2625" s="35" t="s">
        <v>3</v>
      </c>
      <c r="H2625" s="35" t="s">
        <v>3</v>
      </c>
      <c r="I2625" s="35" t="s">
        <v>3</v>
      </c>
      <c r="J2625" s="35" t="s">
        <v>3</v>
      </c>
      <c r="K2625" s="35" t="s">
        <v>3</v>
      </c>
      <c r="L2625" s="35" t="s">
        <v>3</v>
      </c>
      <c r="M2625" s="1">
        <v>15.21</v>
      </c>
      <c r="N2625" s="1"/>
    </row>
    <row r="2626" spans="3:14" x14ac:dyDescent="0.2">
      <c r="C2626" s="9" t="s">
        <v>877</v>
      </c>
      <c r="E2626" s="35" t="s">
        <v>3</v>
      </c>
      <c r="F2626" s="35" t="s">
        <v>3</v>
      </c>
      <c r="G2626" s="35" t="s">
        <v>3</v>
      </c>
      <c r="H2626" s="35" t="s">
        <v>3</v>
      </c>
      <c r="I2626" s="35" t="s">
        <v>3</v>
      </c>
      <c r="J2626" s="35" t="s">
        <v>3</v>
      </c>
      <c r="K2626" s="35" t="s">
        <v>3</v>
      </c>
      <c r="L2626" s="35" t="s">
        <v>3</v>
      </c>
      <c r="M2626" s="1">
        <v>0</v>
      </c>
      <c r="N2626" s="1"/>
    </row>
    <row r="2627" spans="3:14" x14ac:dyDescent="0.2">
      <c r="C2627" s="9" t="s">
        <v>878</v>
      </c>
      <c r="E2627" s="35" t="s">
        <v>3</v>
      </c>
      <c r="F2627" s="35" t="s">
        <v>3</v>
      </c>
      <c r="G2627" s="35" t="s">
        <v>3</v>
      </c>
      <c r="H2627" s="35" t="s">
        <v>3</v>
      </c>
      <c r="I2627" s="35" t="s">
        <v>3</v>
      </c>
      <c r="J2627" s="35" t="s">
        <v>3</v>
      </c>
      <c r="K2627" s="35" t="s">
        <v>3</v>
      </c>
      <c r="L2627" s="35" t="s">
        <v>3</v>
      </c>
      <c r="M2627" s="1">
        <v>3.09</v>
      </c>
      <c r="N2627" s="1"/>
    </row>
    <row r="2628" spans="3:14" x14ac:dyDescent="0.2">
      <c r="C2628" s="22" t="s">
        <v>879</v>
      </c>
      <c r="D2628" s="14"/>
      <c r="E2628" s="78" t="s">
        <v>3</v>
      </c>
      <c r="F2628" s="78" t="s">
        <v>3</v>
      </c>
      <c r="G2628" s="78" t="s">
        <v>3</v>
      </c>
      <c r="H2628" s="78" t="s">
        <v>3</v>
      </c>
      <c r="I2628" s="78" t="s">
        <v>3</v>
      </c>
      <c r="J2628" s="78" t="s">
        <v>3</v>
      </c>
      <c r="K2628" s="78" t="s">
        <v>3</v>
      </c>
      <c r="L2628" s="78" t="s">
        <v>3</v>
      </c>
      <c r="M2628" s="80">
        <v>0</v>
      </c>
      <c r="N2628" s="1"/>
    </row>
    <row r="2629" spans="3:14" x14ac:dyDescent="0.2">
      <c r="C2629" s="68" t="s">
        <v>861</v>
      </c>
      <c r="D2629" s="29"/>
      <c r="E2629" s="82"/>
      <c r="F2629" s="82"/>
      <c r="G2629" s="82"/>
      <c r="H2629" s="82"/>
      <c r="I2629" s="82"/>
      <c r="J2629" s="82"/>
      <c r="K2629" s="82"/>
      <c r="L2629" s="82"/>
      <c r="M2629" s="83">
        <f>SUM(M2627:M2628)</f>
        <v>3.09</v>
      </c>
      <c r="N2629" s="1"/>
    </row>
    <row r="2630" spans="3:14" x14ac:dyDescent="0.2">
      <c r="C2630" s="84" t="s">
        <v>880</v>
      </c>
      <c r="D2630" s="85"/>
      <c r="E2630" s="86" t="s">
        <v>3</v>
      </c>
      <c r="F2630" s="86" t="s">
        <v>3</v>
      </c>
      <c r="G2630" s="86" t="s">
        <v>3</v>
      </c>
      <c r="H2630" s="86" t="s">
        <v>3</v>
      </c>
      <c r="I2630" s="86" t="s">
        <v>3</v>
      </c>
      <c r="J2630" s="86" t="s">
        <v>3</v>
      </c>
      <c r="K2630" s="86" t="s">
        <v>3</v>
      </c>
      <c r="L2630" s="86" t="s">
        <v>3</v>
      </c>
      <c r="M2630" s="87">
        <f>SUM(M2616:M2626)+M2629</f>
        <v>42.91</v>
      </c>
      <c r="N2630" s="1"/>
    </row>
    <row r="2631" spans="3:14" x14ac:dyDescent="0.2">
      <c r="C2631" s="9" t="s">
        <v>881</v>
      </c>
      <c r="E2631" s="35" t="s">
        <v>3</v>
      </c>
      <c r="F2631" s="35" t="s">
        <v>3</v>
      </c>
      <c r="G2631" s="35" t="s">
        <v>3</v>
      </c>
      <c r="H2631" s="35" t="s">
        <v>3</v>
      </c>
      <c r="I2631" s="35" t="s">
        <v>3</v>
      </c>
      <c r="J2631" s="35" t="s">
        <v>3</v>
      </c>
      <c r="K2631" s="35" t="s">
        <v>3</v>
      </c>
      <c r="L2631" s="35" t="s">
        <v>3</v>
      </c>
      <c r="M2631" s="38">
        <v>0.01</v>
      </c>
      <c r="N2631" s="1"/>
    </row>
    <row r="2632" spans="3:14" x14ac:dyDescent="0.2">
      <c r="C2632" s="9" t="s">
        <v>882</v>
      </c>
      <c r="E2632" s="35" t="s">
        <v>3</v>
      </c>
      <c r="F2632" s="35" t="s">
        <v>3</v>
      </c>
      <c r="G2632" s="35" t="s">
        <v>3</v>
      </c>
      <c r="H2632" s="35" t="s">
        <v>3</v>
      </c>
      <c r="I2632" s="35" t="s">
        <v>3</v>
      </c>
      <c r="J2632" s="35" t="s">
        <v>3</v>
      </c>
      <c r="K2632" s="35" t="s">
        <v>3</v>
      </c>
      <c r="L2632" s="35" t="s">
        <v>3</v>
      </c>
      <c r="M2632" s="38">
        <v>1.93</v>
      </c>
      <c r="N2632" s="1"/>
    </row>
    <row r="2633" spans="3:14" x14ac:dyDescent="0.2">
      <c r="C2633" s="22" t="s">
        <v>883</v>
      </c>
      <c r="D2633" s="14"/>
      <c r="E2633" s="78" t="s">
        <v>3</v>
      </c>
      <c r="F2633" s="78" t="s">
        <v>3</v>
      </c>
      <c r="G2633" s="78" t="s">
        <v>3</v>
      </c>
      <c r="H2633" s="78" t="s">
        <v>3</v>
      </c>
      <c r="I2633" s="78" t="s">
        <v>3</v>
      </c>
      <c r="J2633" s="78" t="s">
        <v>3</v>
      </c>
      <c r="K2633" s="78" t="s">
        <v>3</v>
      </c>
      <c r="L2633" s="78" t="s">
        <v>3</v>
      </c>
      <c r="M2633" s="89">
        <v>0</v>
      </c>
      <c r="N2633" s="1"/>
    </row>
    <row r="2634" spans="3:14" x14ac:dyDescent="0.2">
      <c r="C2634" s="9" t="s">
        <v>884</v>
      </c>
      <c r="E2634" s="35" t="s">
        <v>3</v>
      </c>
      <c r="F2634" s="35" t="s">
        <v>3</v>
      </c>
      <c r="G2634" s="35" t="s">
        <v>3</v>
      </c>
      <c r="H2634" s="35" t="s">
        <v>3</v>
      </c>
      <c r="I2634" s="35" t="s">
        <v>3</v>
      </c>
      <c r="J2634" s="35" t="s">
        <v>3</v>
      </c>
      <c r="K2634" s="35" t="s">
        <v>3</v>
      </c>
      <c r="L2634" s="35" t="s">
        <v>3</v>
      </c>
      <c r="M2634" s="37">
        <f>M2630-SUM(M2631:M2633)</f>
        <v>40.97</v>
      </c>
      <c r="N2634" s="1"/>
    </row>
    <row r="2635" spans="3:14" x14ac:dyDescent="0.2">
      <c r="C2635" s="9"/>
      <c r="E2635" s="35"/>
      <c r="F2635" s="35"/>
      <c r="G2635" s="35"/>
      <c r="H2635" s="35"/>
      <c r="I2635" s="35"/>
      <c r="J2635" s="35"/>
      <c r="K2635" s="35"/>
      <c r="L2635" s="35"/>
      <c r="M2635" s="37"/>
      <c r="N2635" s="1"/>
    </row>
    <row r="2636" spans="3:14" x14ac:dyDescent="0.2">
      <c r="C2636" s="9" t="s">
        <v>848</v>
      </c>
      <c r="E2636" s="35" t="s">
        <v>3</v>
      </c>
      <c r="F2636" s="35" t="s">
        <v>3</v>
      </c>
      <c r="G2636" s="35" t="s">
        <v>3</v>
      </c>
      <c r="H2636" s="35" t="s">
        <v>3</v>
      </c>
      <c r="I2636" s="35" t="s">
        <v>3</v>
      </c>
      <c r="J2636" s="35" t="s">
        <v>3</v>
      </c>
      <c r="K2636" s="35" t="s">
        <v>3</v>
      </c>
      <c r="L2636" s="35" t="s">
        <v>3</v>
      </c>
      <c r="M2636" s="1">
        <v>0.86</v>
      </c>
    </row>
    <row r="2637" spans="3:14" x14ac:dyDescent="0.2">
      <c r="C2637" s="9" t="s">
        <v>849</v>
      </c>
      <c r="E2637" s="35" t="s">
        <v>3</v>
      </c>
      <c r="F2637" s="35" t="s">
        <v>3</v>
      </c>
      <c r="G2637" s="35" t="s">
        <v>3</v>
      </c>
      <c r="H2637" s="35" t="s">
        <v>3</v>
      </c>
      <c r="I2637" s="35" t="s">
        <v>3</v>
      </c>
      <c r="J2637" s="35" t="s">
        <v>3</v>
      </c>
      <c r="K2637" s="35" t="s">
        <v>3</v>
      </c>
      <c r="L2637" s="35" t="s">
        <v>3</v>
      </c>
      <c r="M2637" s="1">
        <v>0</v>
      </c>
      <c r="N2637" s="1"/>
    </row>
    <row r="2638" spans="3:14" x14ac:dyDescent="0.2">
      <c r="C2638" s="9" t="s">
        <v>850</v>
      </c>
      <c r="E2638" s="35" t="s">
        <v>3</v>
      </c>
      <c r="F2638" s="35" t="s">
        <v>3</v>
      </c>
      <c r="G2638" s="35" t="s">
        <v>3</v>
      </c>
      <c r="H2638" s="35" t="s">
        <v>3</v>
      </c>
      <c r="I2638" s="35" t="s">
        <v>3</v>
      </c>
      <c r="J2638" s="35" t="s">
        <v>3</v>
      </c>
      <c r="K2638" s="35" t="s">
        <v>3</v>
      </c>
      <c r="L2638" s="35" t="s">
        <v>3</v>
      </c>
      <c r="M2638" s="1">
        <v>10.81</v>
      </c>
      <c r="N2638" s="1"/>
    </row>
    <row r="2639" spans="3:14" x14ac:dyDescent="0.2">
      <c r="C2639" s="9" t="s">
        <v>851</v>
      </c>
      <c r="E2639" s="35" t="s">
        <v>3</v>
      </c>
      <c r="F2639" s="35" t="s">
        <v>3</v>
      </c>
      <c r="G2639" s="35" t="s">
        <v>3</v>
      </c>
      <c r="H2639" s="35" t="s">
        <v>3</v>
      </c>
      <c r="I2639" s="35" t="s">
        <v>3</v>
      </c>
      <c r="J2639" s="35" t="s">
        <v>3</v>
      </c>
      <c r="K2639" s="35" t="s">
        <v>3</v>
      </c>
      <c r="L2639" s="35" t="s">
        <v>3</v>
      </c>
      <c r="M2639" s="1">
        <v>10.84</v>
      </c>
      <c r="N2639" s="1"/>
    </row>
    <row r="2640" spans="3:14" x14ac:dyDescent="0.2">
      <c r="C2640" s="9" t="s">
        <v>852</v>
      </c>
      <c r="E2640" s="35" t="s">
        <v>3</v>
      </c>
      <c r="F2640" s="35" t="s">
        <v>3</v>
      </c>
      <c r="G2640" s="35" t="s">
        <v>3</v>
      </c>
      <c r="H2640" s="35" t="s">
        <v>3</v>
      </c>
      <c r="I2640" s="35" t="s">
        <v>3</v>
      </c>
      <c r="J2640" s="35" t="s">
        <v>3</v>
      </c>
      <c r="K2640" s="35" t="s">
        <v>3</v>
      </c>
      <c r="L2640" s="35" t="s">
        <v>3</v>
      </c>
      <c r="M2640" s="1">
        <v>0.79</v>
      </c>
      <c r="N2640" s="1"/>
    </row>
    <row r="2641" spans="3:14" x14ac:dyDescent="0.2">
      <c r="C2641" s="9" t="s">
        <v>853</v>
      </c>
      <c r="E2641" s="35" t="s">
        <v>3</v>
      </c>
      <c r="F2641" s="35" t="s">
        <v>3</v>
      </c>
      <c r="G2641" s="35" t="s">
        <v>3</v>
      </c>
      <c r="H2641" s="35" t="s">
        <v>3</v>
      </c>
      <c r="I2641" s="35" t="s">
        <v>3</v>
      </c>
      <c r="J2641" s="35" t="s">
        <v>3</v>
      </c>
      <c r="K2641" s="35" t="s">
        <v>3</v>
      </c>
      <c r="L2641" s="35" t="s">
        <v>3</v>
      </c>
      <c r="M2641" s="1">
        <v>2.21</v>
      </c>
      <c r="N2641" s="1"/>
    </row>
    <row r="2642" spans="3:14" x14ac:dyDescent="0.2">
      <c r="C2642" s="9" t="s">
        <v>854</v>
      </c>
      <c r="E2642" s="35" t="s">
        <v>3</v>
      </c>
      <c r="F2642" s="35" t="s">
        <v>3</v>
      </c>
      <c r="G2642" s="35" t="s">
        <v>3</v>
      </c>
      <c r="H2642" s="35" t="s">
        <v>3</v>
      </c>
      <c r="I2642" s="35" t="s">
        <v>3</v>
      </c>
      <c r="J2642" s="35" t="s">
        <v>3</v>
      </c>
      <c r="K2642" s="35" t="s">
        <v>3</v>
      </c>
      <c r="L2642" s="35" t="s">
        <v>3</v>
      </c>
      <c r="M2642" s="1">
        <v>0.45</v>
      </c>
      <c r="N2642" s="1"/>
    </row>
    <row r="2643" spans="3:14" x14ac:dyDescent="0.2">
      <c r="C2643" s="9" t="s">
        <v>855</v>
      </c>
      <c r="E2643" s="35" t="s">
        <v>3</v>
      </c>
      <c r="F2643" s="35" t="s">
        <v>3</v>
      </c>
      <c r="G2643" s="35" t="s">
        <v>3</v>
      </c>
      <c r="H2643" s="35" t="s">
        <v>3</v>
      </c>
      <c r="I2643" s="35" t="s">
        <v>3</v>
      </c>
      <c r="J2643" s="35" t="s">
        <v>3</v>
      </c>
      <c r="K2643" s="35" t="s">
        <v>3</v>
      </c>
      <c r="L2643" s="35" t="s">
        <v>3</v>
      </c>
      <c r="M2643" s="1">
        <v>7.63</v>
      </c>
      <c r="N2643" s="1"/>
    </row>
    <row r="2644" spans="3:14" x14ac:dyDescent="0.2">
      <c r="C2644" s="9" t="s">
        <v>856</v>
      </c>
      <c r="E2644" s="35" t="s">
        <v>3</v>
      </c>
      <c r="F2644" s="35" t="s">
        <v>3</v>
      </c>
      <c r="G2644" s="35" t="s">
        <v>3</v>
      </c>
      <c r="H2644" s="35" t="s">
        <v>3</v>
      </c>
      <c r="I2644" s="35" t="s">
        <v>3</v>
      </c>
      <c r="J2644" s="35" t="s">
        <v>3</v>
      </c>
      <c r="K2644" s="35" t="s">
        <v>3</v>
      </c>
      <c r="L2644" s="35" t="s">
        <v>3</v>
      </c>
      <c r="M2644" s="1">
        <v>2.0099999999999998</v>
      </c>
      <c r="N2644" s="1"/>
    </row>
    <row r="2645" spans="3:14" x14ac:dyDescent="0.2">
      <c r="C2645" s="9" t="s">
        <v>857</v>
      </c>
      <c r="E2645" s="35" t="s">
        <v>3</v>
      </c>
      <c r="F2645" s="35" t="s">
        <v>3</v>
      </c>
      <c r="G2645" s="35" t="s">
        <v>3</v>
      </c>
      <c r="H2645" s="35" t="s">
        <v>3</v>
      </c>
      <c r="I2645" s="35" t="s">
        <v>3</v>
      </c>
      <c r="J2645" s="35" t="s">
        <v>3</v>
      </c>
      <c r="K2645" s="35" t="s">
        <v>3</v>
      </c>
      <c r="L2645" s="35" t="s">
        <v>3</v>
      </c>
      <c r="M2645" s="1">
        <v>0.33</v>
      </c>
      <c r="N2645" s="1"/>
    </row>
    <row r="2646" spans="3:14" x14ac:dyDescent="0.2">
      <c r="C2646" s="9" t="s">
        <v>858</v>
      </c>
      <c r="E2646" s="35" t="s">
        <v>3</v>
      </c>
      <c r="F2646" s="35" t="s">
        <v>3</v>
      </c>
      <c r="G2646" s="35" t="s">
        <v>3</v>
      </c>
      <c r="H2646" s="35" t="s">
        <v>3</v>
      </c>
      <c r="I2646" s="35" t="s">
        <v>3</v>
      </c>
      <c r="J2646" s="35" t="s">
        <v>3</v>
      </c>
      <c r="K2646" s="35" t="s">
        <v>3</v>
      </c>
      <c r="L2646" s="35" t="s">
        <v>3</v>
      </c>
      <c r="M2646" s="1">
        <v>0</v>
      </c>
      <c r="N2646" s="1"/>
    </row>
    <row r="2647" spans="3:14" x14ac:dyDescent="0.2">
      <c r="C2647" s="9" t="s">
        <v>859</v>
      </c>
      <c r="E2647" s="35" t="s">
        <v>3</v>
      </c>
      <c r="F2647" s="35" t="s">
        <v>3</v>
      </c>
      <c r="G2647" s="35" t="s">
        <v>3</v>
      </c>
      <c r="H2647" s="35" t="s">
        <v>3</v>
      </c>
      <c r="I2647" s="35" t="s">
        <v>3</v>
      </c>
      <c r="J2647" s="35" t="s">
        <v>3</v>
      </c>
      <c r="K2647" s="35" t="s">
        <v>3</v>
      </c>
      <c r="L2647" s="35" t="s">
        <v>3</v>
      </c>
      <c r="M2647" s="1">
        <v>0.06</v>
      </c>
      <c r="N2647" s="1"/>
    </row>
    <row r="2648" spans="3:14" x14ac:dyDescent="0.2">
      <c r="C2648" s="22" t="s">
        <v>860</v>
      </c>
      <c r="D2648" s="14"/>
      <c r="E2648" s="78" t="s">
        <v>3</v>
      </c>
      <c r="F2648" s="78" t="s">
        <v>3</v>
      </c>
      <c r="G2648" s="78" t="s">
        <v>3</v>
      </c>
      <c r="H2648" s="78" t="s">
        <v>3</v>
      </c>
      <c r="I2648" s="78" t="s">
        <v>3</v>
      </c>
      <c r="J2648" s="78" t="s">
        <v>3</v>
      </c>
      <c r="K2648" s="78" t="s">
        <v>3</v>
      </c>
      <c r="L2648" s="78" t="s">
        <v>3</v>
      </c>
      <c r="M2648" s="80">
        <v>0</v>
      </c>
      <c r="N2648" s="1"/>
    </row>
    <row r="2649" spans="3:14" x14ac:dyDescent="0.2">
      <c r="C2649" s="68" t="s">
        <v>861</v>
      </c>
      <c r="D2649" s="29"/>
      <c r="E2649" s="78" t="s">
        <v>3</v>
      </c>
      <c r="F2649" s="78" t="s">
        <v>3</v>
      </c>
      <c r="G2649" s="78" t="s">
        <v>3</v>
      </c>
      <c r="H2649" s="78" t="s">
        <v>3</v>
      </c>
      <c r="I2649" s="78" t="s">
        <v>3</v>
      </c>
      <c r="J2649" s="78" t="s">
        <v>3</v>
      </c>
      <c r="K2649" s="78" t="s">
        <v>3</v>
      </c>
      <c r="L2649" s="78" t="s">
        <v>3</v>
      </c>
      <c r="M2649" s="83">
        <f>SUM(M2647:M2648)</f>
        <v>0.06</v>
      </c>
      <c r="N2649" s="1"/>
    </row>
    <row r="2650" spans="3:14" x14ac:dyDescent="0.2">
      <c r="C2650" s="84" t="s">
        <v>862</v>
      </c>
      <c r="D2650" s="85"/>
      <c r="E2650" s="86" t="s">
        <v>3</v>
      </c>
      <c r="F2650" s="86" t="s">
        <v>3</v>
      </c>
      <c r="G2650" s="86" t="s">
        <v>3</v>
      </c>
      <c r="H2650" s="86" t="s">
        <v>3</v>
      </c>
      <c r="I2650" s="86" t="s">
        <v>3</v>
      </c>
      <c r="J2650" s="86" t="s">
        <v>3</v>
      </c>
      <c r="K2650" s="86" t="s">
        <v>3</v>
      </c>
      <c r="L2650" s="86" t="s">
        <v>3</v>
      </c>
      <c r="M2650" s="87">
        <f>SUM(M2636:M2646)+M2649</f>
        <v>35.989999999999995</v>
      </c>
      <c r="N2650" s="1"/>
    </row>
    <row r="2651" spans="3:14" x14ac:dyDescent="0.2">
      <c r="C2651" s="9" t="s">
        <v>863</v>
      </c>
      <c r="E2651" s="35" t="s">
        <v>3</v>
      </c>
      <c r="F2651" s="35" t="s">
        <v>3</v>
      </c>
      <c r="G2651" s="35" t="s">
        <v>3</v>
      </c>
      <c r="H2651" s="35" t="s">
        <v>3</v>
      </c>
      <c r="I2651" s="35" t="s">
        <v>3</v>
      </c>
      <c r="J2651" s="35" t="s">
        <v>3</v>
      </c>
      <c r="K2651" s="35" t="s">
        <v>3</v>
      </c>
      <c r="L2651" s="35" t="s">
        <v>3</v>
      </c>
      <c r="M2651" s="52">
        <v>0.63</v>
      </c>
      <c r="N2651" s="1"/>
    </row>
    <row r="2652" spans="3:14" x14ac:dyDescent="0.2">
      <c r="C2652" s="9" t="s">
        <v>864</v>
      </c>
      <c r="E2652" s="35" t="s">
        <v>3</v>
      </c>
      <c r="F2652" s="35" t="s">
        <v>3</v>
      </c>
      <c r="G2652" s="35" t="s">
        <v>3</v>
      </c>
      <c r="H2652" s="35" t="s">
        <v>3</v>
      </c>
      <c r="I2652" s="35" t="s">
        <v>3</v>
      </c>
      <c r="J2652" s="35" t="s">
        <v>3</v>
      </c>
      <c r="K2652" s="35" t="s">
        <v>3</v>
      </c>
      <c r="L2652" s="35" t="s">
        <v>3</v>
      </c>
      <c r="M2652" s="52">
        <v>1.54</v>
      </c>
      <c r="N2652" s="1"/>
    </row>
    <row r="2653" spans="3:14" x14ac:dyDescent="0.2">
      <c r="C2653" s="22" t="s">
        <v>865</v>
      </c>
      <c r="D2653" s="14"/>
      <c r="E2653" s="78" t="s">
        <v>3</v>
      </c>
      <c r="F2653" s="78" t="s">
        <v>3</v>
      </c>
      <c r="G2653" s="78" t="s">
        <v>3</v>
      </c>
      <c r="H2653" s="78" t="s">
        <v>3</v>
      </c>
      <c r="I2653" s="78" t="s">
        <v>3</v>
      </c>
      <c r="J2653" s="78" t="s">
        <v>3</v>
      </c>
      <c r="K2653" s="78" t="s">
        <v>3</v>
      </c>
      <c r="L2653" s="78" t="s">
        <v>3</v>
      </c>
      <c r="M2653" s="89">
        <v>0</v>
      </c>
      <c r="N2653" s="1"/>
    </row>
    <row r="2654" spans="3:14" x14ac:dyDescent="0.2">
      <c r="C2654" s="9" t="s">
        <v>866</v>
      </c>
      <c r="E2654" s="35" t="s">
        <v>3</v>
      </c>
      <c r="F2654" s="35" t="s">
        <v>3</v>
      </c>
      <c r="G2654" s="35" t="s">
        <v>3</v>
      </c>
      <c r="H2654" s="35" t="s">
        <v>3</v>
      </c>
      <c r="I2654" s="35" t="s">
        <v>3</v>
      </c>
      <c r="J2654" s="35" t="s">
        <v>3</v>
      </c>
      <c r="K2654" s="35" t="s">
        <v>3</v>
      </c>
      <c r="L2654" s="35" t="s">
        <v>3</v>
      </c>
      <c r="M2654" s="37">
        <f>M2650-SUM(M2651:M2653)</f>
        <v>33.819999999999993</v>
      </c>
      <c r="N2654" s="1"/>
    </row>
    <row r="2655" spans="3:14" x14ac:dyDescent="0.2">
      <c r="C2655" s="12"/>
      <c r="E2655" s="35"/>
      <c r="F2655" s="44"/>
      <c r="G2655" s="44"/>
      <c r="H2655" s="44"/>
      <c r="I2655" s="44"/>
      <c r="J2655" s="44"/>
      <c r="K2655" s="44"/>
      <c r="L2655" s="44"/>
      <c r="N2655" s="1"/>
    </row>
    <row r="2656" spans="3:14" x14ac:dyDescent="0.2">
      <c r="C2656" s="9"/>
      <c r="E2656" s="35"/>
      <c r="F2656" s="35"/>
      <c r="G2656" s="35"/>
      <c r="H2656" s="35"/>
      <c r="I2656" s="35"/>
      <c r="J2656" s="35"/>
      <c r="K2656" s="35"/>
      <c r="L2656" s="35"/>
      <c r="M2656" s="37"/>
      <c r="N2656" s="1"/>
    </row>
    <row r="2657" spans="2:14" ht="15" x14ac:dyDescent="0.25">
      <c r="B2657" s="2" t="s">
        <v>1142</v>
      </c>
      <c r="E2657" s="2"/>
      <c r="F2657" s="2"/>
      <c r="G2657" s="2"/>
      <c r="H2657" s="2"/>
      <c r="I2657" s="2"/>
      <c r="J2657" s="2"/>
      <c r="K2657" s="2"/>
      <c r="L2657" s="2"/>
      <c r="M2657" s="2"/>
    </row>
    <row r="2658" spans="2:14" ht="15" x14ac:dyDescent="0.25">
      <c r="C2658" s="13" t="s">
        <v>128</v>
      </c>
      <c r="E2658" s="2">
        <v>2010</v>
      </c>
      <c r="F2658" s="2">
        <v>2015</v>
      </c>
      <c r="G2658" s="2">
        <v>2020</v>
      </c>
      <c r="H2658" s="2">
        <v>2025</v>
      </c>
      <c r="I2658" s="2">
        <v>2030</v>
      </c>
      <c r="J2658" s="2">
        <v>2035</v>
      </c>
      <c r="K2658" s="2">
        <v>2040</v>
      </c>
      <c r="L2658" s="2">
        <v>2045</v>
      </c>
      <c r="M2658" s="2">
        <v>2050</v>
      </c>
    </row>
    <row r="2659" spans="2:14" x14ac:dyDescent="0.2">
      <c r="C2659" s="9" t="s">
        <v>1143</v>
      </c>
      <c r="E2659" s="35" t="s">
        <v>3</v>
      </c>
      <c r="F2659" s="35" t="s">
        <v>3</v>
      </c>
      <c r="G2659" s="35" t="s">
        <v>3</v>
      </c>
      <c r="H2659" s="35" t="s">
        <v>3</v>
      </c>
      <c r="I2659" s="35" t="s">
        <v>3</v>
      </c>
      <c r="J2659" s="35" t="s">
        <v>3</v>
      </c>
      <c r="K2659" s="35" t="s">
        <v>3</v>
      </c>
      <c r="L2659" s="35" t="s">
        <v>3</v>
      </c>
      <c r="M2659" s="37">
        <f t="shared" ref="M2659:M2677" si="927">M2699+M2679</f>
        <v>3.7</v>
      </c>
    </row>
    <row r="2660" spans="2:14" x14ac:dyDescent="0.2">
      <c r="C2660" s="9" t="s">
        <v>1144</v>
      </c>
      <c r="E2660" s="35" t="s">
        <v>3</v>
      </c>
      <c r="F2660" s="35" t="s">
        <v>3</v>
      </c>
      <c r="G2660" s="35" t="s">
        <v>3</v>
      </c>
      <c r="H2660" s="35" t="s">
        <v>3</v>
      </c>
      <c r="I2660" s="35" t="s">
        <v>3</v>
      </c>
      <c r="J2660" s="35" t="s">
        <v>3</v>
      </c>
      <c r="K2660" s="35" t="s">
        <v>3</v>
      </c>
      <c r="L2660" s="35" t="s">
        <v>3</v>
      </c>
      <c r="M2660" s="37">
        <f t="shared" si="927"/>
        <v>27.33</v>
      </c>
      <c r="N2660" s="1"/>
    </row>
    <row r="2661" spans="2:14" x14ac:dyDescent="0.2">
      <c r="C2661" s="9" t="s">
        <v>1145</v>
      </c>
      <c r="E2661" s="35" t="s">
        <v>3</v>
      </c>
      <c r="F2661" s="35" t="s">
        <v>3</v>
      </c>
      <c r="G2661" s="35" t="s">
        <v>3</v>
      </c>
      <c r="H2661" s="35" t="s">
        <v>3</v>
      </c>
      <c r="I2661" s="35" t="s">
        <v>3</v>
      </c>
      <c r="J2661" s="35" t="s">
        <v>3</v>
      </c>
      <c r="K2661" s="35" t="s">
        <v>3</v>
      </c>
      <c r="L2661" s="35" t="s">
        <v>3</v>
      </c>
      <c r="M2661" s="37">
        <f t="shared" si="927"/>
        <v>16.600000000000001</v>
      </c>
      <c r="N2661" s="1"/>
    </row>
    <row r="2662" spans="2:14" x14ac:dyDescent="0.2">
      <c r="C2662" s="9" t="s">
        <v>1146</v>
      </c>
      <c r="E2662" s="35" t="s">
        <v>3</v>
      </c>
      <c r="F2662" s="35" t="s">
        <v>3</v>
      </c>
      <c r="G2662" s="35" t="s">
        <v>3</v>
      </c>
      <c r="H2662" s="35" t="s">
        <v>3</v>
      </c>
      <c r="I2662" s="35" t="s">
        <v>3</v>
      </c>
      <c r="J2662" s="35" t="s">
        <v>3</v>
      </c>
      <c r="K2662" s="35" t="s">
        <v>3</v>
      </c>
      <c r="L2662" s="35" t="s">
        <v>3</v>
      </c>
      <c r="M2662" s="37">
        <f t="shared" si="927"/>
        <v>18.96</v>
      </c>
      <c r="N2662" s="1"/>
    </row>
    <row r="2663" spans="2:14" x14ac:dyDescent="0.2">
      <c r="C2663" s="9" t="s">
        <v>1147</v>
      </c>
      <c r="E2663" s="35" t="s">
        <v>3</v>
      </c>
      <c r="F2663" s="35" t="s">
        <v>3</v>
      </c>
      <c r="G2663" s="35" t="s">
        <v>3</v>
      </c>
      <c r="H2663" s="35" t="s">
        <v>3</v>
      </c>
      <c r="I2663" s="35" t="s">
        <v>3</v>
      </c>
      <c r="J2663" s="35" t="s">
        <v>3</v>
      </c>
      <c r="K2663" s="35" t="s">
        <v>3</v>
      </c>
      <c r="L2663" s="35" t="s">
        <v>3</v>
      </c>
      <c r="M2663" s="37">
        <f t="shared" si="927"/>
        <v>0.77</v>
      </c>
      <c r="N2663" s="1"/>
    </row>
    <row r="2664" spans="2:14" x14ac:dyDescent="0.2">
      <c r="C2664" s="9" t="s">
        <v>1148</v>
      </c>
      <c r="E2664" s="35" t="s">
        <v>3</v>
      </c>
      <c r="F2664" s="35" t="s">
        <v>3</v>
      </c>
      <c r="G2664" s="35" t="s">
        <v>3</v>
      </c>
      <c r="H2664" s="35" t="s">
        <v>3</v>
      </c>
      <c r="I2664" s="35" t="s">
        <v>3</v>
      </c>
      <c r="J2664" s="35" t="s">
        <v>3</v>
      </c>
      <c r="K2664" s="35" t="s">
        <v>3</v>
      </c>
      <c r="L2664" s="35" t="s">
        <v>3</v>
      </c>
      <c r="M2664" s="37">
        <f t="shared" si="927"/>
        <v>0</v>
      </c>
      <c r="N2664" s="1"/>
    </row>
    <row r="2665" spans="2:14" x14ac:dyDescent="0.2">
      <c r="C2665" s="9" t="s">
        <v>1149</v>
      </c>
      <c r="E2665" s="35" t="s">
        <v>3</v>
      </c>
      <c r="F2665" s="35" t="s">
        <v>3</v>
      </c>
      <c r="G2665" s="35" t="s">
        <v>3</v>
      </c>
      <c r="H2665" s="35" t="s">
        <v>3</v>
      </c>
      <c r="I2665" s="35" t="s">
        <v>3</v>
      </c>
      <c r="J2665" s="35" t="s">
        <v>3</v>
      </c>
      <c r="K2665" s="35" t="s">
        <v>3</v>
      </c>
      <c r="L2665" s="35" t="s">
        <v>3</v>
      </c>
      <c r="M2665" s="37">
        <f t="shared" si="927"/>
        <v>0</v>
      </c>
      <c r="N2665" s="1"/>
    </row>
    <row r="2666" spans="2:14" x14ac:dyDescent="0.2">
      <c r="C2666" s="9" t="s">
        <v>1150</v>
      </c>
      <c r="E2666" s="35" t="s">
        <v>3</v>
      </c>
      <c r="F2666" s="35" t="s">
        <v>3</v>
      </c>
      <c r="G2666" s="35" t="s">
        <v>3</v>
      </c>
      <c r="H2666" s="35" t="s">
        <v>3</v>
      </c>
      <c r="I2666" s="35" t="s">
        <v>3</v>
      </c>
      <c r="J2666" s="35" t="s">
        <v>3</v>
      </c>
      <c r="K2666" s="35" t="s">
        <v>3</v>
      </c>
      <c r="L2666" s="35" t="s">
        <v>3</v>
      </c>
      <c r="M2666" s="37">
        <f t="shared" si="927"/>
        <v>0</v>
      </c>
      <c r="N2666" s="1"/>
    </row>
    <row r="2667" spans="2:14" x14ac:dyDescent="0.2">
      <c r="C2667" s="9" t="s">
        <v>1151</v>
      </c>
      <c r="E2667" s="35" t="s">
        <v>3</v>
      </c>
      <c r="F2667" s="35" t="s">
        <v>3</v>
      </c>
      <c r="G2667" s="35" t="s">
        <v>3</v>
      </c>
      <c r="H2667" s="35" t="s">
        <v>3</v>
      </c>
      <c r="I2667" s="35" t="s">
        <v>3</v>
      </c>
      <c r="J2667" s="35" t="s">
        <v>3</v>
      </c>
      <c r="K2667" s="35" t="s">
        <v>3</v>
      </c>
      <c r="L2667" s="35" t="s">
        <v>3</v>
      </c>
      <c r="M2667" s="37">
        <f t="shared" si="927"/>
        <v>0</v>
      </c>
      <c r="N2667" s="1"/>
    </row>
    <row r="2668" spans="2:14" x14ac:dyDescent="0.2">
      <c r="C2668" s="9" t="s">
        <v>1152</v>
      </c>
      <c r="E2668" s="35" t="s">
        <v>3</v>
      </c>
      <c r="F2668" s="35" t="s">
        <v>3</v>
      </c>
      <c r="G2668" s="35" t="s">
        <v>3</v>
      </c>
      <c r="H2668" s="35" t="s">
        <v>3</v>
      </c>
      <c r="I2668" s="35" t="s">
        <v>3</v>
      </c>
      <c r="J2668" s="35" t="s">
        <v>3</v>
      </c>
      <c r="K2668" s="35" t="s">
        <v>3</v>
      </c>
      <c r="L2668" s="35" t="s">
        <v>3</v>
      </c>
      <c r="M2668" s="37">
        <f t="shared" si="927"/>
        <v>0</v>
      </c>
      <c r="N2668" s="1"/>
    </row>
    <row r="2669" spans="2:14" x14ac:dyDescent="0.2">
      <c r="C2669" s="9" t="s">
        <v>1153</v>
      </c>
      <c r="E2669" s="35" t="s">
        <v>3</v>
      </c>
      <c r="F2669" s="35" t="s">
        <v>3</v>
      </c>
      <c r="G2669" s="35" t="s">
        <v>3</v>
      </c>
      <c r="H2669" s="35" t="s">
        <v>3</v>
      </c>
      <c r="I2669" s="35" t="s">
        <v>3</v>
      </c>
      <c r="J2669" s="35" t="s">
        <v>3</v>
      </c>
      <c r="K2669" s="35" t="s">
        <v>3</v>
      </c>
      <c r="L2669" s="35" t="s">
        <v>3</v>
      </c>
      <c r="M2669" s="37">
        <f t="shared" si="927"/>
        <v>0</v>
      </c>
      <c r="N2669" s="1"/>
    </row>
    <row r="2670" spans="2:14" x14ac:dyDescent="0.2">
      <c r="C2670" s="9" t="s">
        <v>1154</v>
      </c>
      <c r="E2670" s="35" t="s">
        <v>3</v>
      </c>
      <c r="F2670" s="35" t="s">
        <v>3</v>
      </c>
      <c r="G2670" s="35" t="s">
        <v>3</v>
      </c>
      <c r="H2670" s="35" t="s">
        <v>3</v>
      </c>
      <c r="I2670" s="35" t="s">
        <v>3</v>
      </c>
      <c r="J2670" s="35" t="s">
        <v>3</v>
      </c>
      <c r="K2670" s="35" t="s">
        <v>3</v>
      </c>
      <c r="L2670" s="35" t="s">
        <v>3</v>
      </c>
      <c r="M2670" s="37">
        <f t="shared" si="927"/>
        <v>0</v>
      </c>
      <c r="N2670" s="1"/>
    </row>
    <row r="2671" spans="2:14" x14ac:dyDescent="0.2">
      <c r="C2671" s="22" t="s">
        <v>185</v>
      </c>
      <c r="D2671" s="14"/>
      <c r="E2671" s="78" t="s">
        <v>3</v>
      </c>
      <c r="F2671" s="78" t="s">
        <v>3</v>
      </c>
      <c r="G2671" s="78" t="s">
        <v>3</v>
      </c>
      <c r="H2671" s="78" t="s">
        <v>3</v>
      </c>
      <c r="I2671" s="78" t="s">
        <v>3</v>
      </c>
      <c r="J2671" s="78" t="s">
        <v>3</v>
      </c>
      <c r="K2671" s="78" t="s">
        <v>3</v>
      </c>
      <c r="L2671" s="78" t="s">
        <v>3</v>
      </c>
      <c r="M2671" s="81">
        <f t="shared" si="927"/>
        <v>-3.36</v>
      </c>
      <c r="N2671" s="1"/>
    </row>
    <row r="2672" spans="2:14" x14ac:dyDescent="0.2">
      <c r="C2672" s="68" t="s">
        <v>1155</v>
      </c>
      <c r="D2672" s="29"/>
      <c r="E2672" s="82" t="s">
        <v>3</v>
      </c>
      <c r="F2672" s="82" t="s">
        <v>3</v>
      </c>
      <c r="G2672" s="82" t="s">
        <v>3</v>
      </c>
      <c r="H2672" s="82" t="s">
        <v>3</v>
      </c>
      <c r="I2672" s="82" t="s">
        <v>3</v>
      </c>
      <c r="J2672" s="82" t="s">
        <v>3</v>
      </c>
      <c r="K2672" s="82" t="s">
        <v>3</v>
      </c>
      <c r="L2672" s="82" t="s">
        <v>3</v>
      </c>
      <c r="M2672" s="88">
        <f t="shared" si="927"/>
        <v>-3.36</v>
      </c>
      <c r="N2672" s="1"/>
    </row>
    <row r="2673" spans="3:14" x14ac:dyDescent="0.2">
      <c r="C2673" s="84" t="s">
        <v>1156</v>
      </c>
      <c r="D2673" s="85"/>
      <c r="E2673" s="86" t="s">
        <v>3</v>
      </c>
      <c r="F2673" s="86" t="s">
        <v>3</v>
      </c>
      <c r="G2673" s="86" t="s">
        <v>3</v>
      </c>
      <c r="H2673" s="86" t="s">
        <v>3</v>
      </c>
      <c r="I2673" s="86" t="s">
        <v>3</v>
      </c>
      <c r="J2673" s="86" t="s">
        <v>3</v>
      </c>
      <c r="K2673" s="86" t="s">
        <v>3</v>
      </c>
      <c r="L2673" s="86" t="s">
        <v>3</v>
      </c>
      <c r="M2673" s="37">
        <f t="shared" si="927"/>
        <v>63.999999999999993</v>
      </c>
      <c r="N2673" s="1"/>
    </row>
    <row r="2674" spans="3:14" x14ac:dyDescent="0.2">
      <c r="C2674" s="9" t="s">
        <v>1157</v>
      </c>
      <c r="E2674" s="35" t="s">
        <v>3</v>
      </c>
      <c r="F2674" s="35" t="s">
        <v>3</v>
      </c>
      <c r="G2674" s="35" t="s">
        <v>3</v>
      </c>
      <c r="H2674" s="35" t="s">
        <v>3</v>
      </c>
      <c r="I2674" s="35" t="s">
        <v>3</v>
      </c>
      <c r="J2674" s="35" t="s">
        <v>3</v>
      </c>
      <c r="K2674" s="35" t="s">
        <v>3</v>
      </c>
      <c r="L2674" s="35" t="s">
        <v>3</v>
      </c>
      <c r="M2674" s="37">
        <f t="shared" si="927"/>
        <v>0.34</v>
      </c>
      <c r="N2674" s="1"/>
    </row>
    <row r="2675" spans="3:14" x14ac:dyDescent="0.2">
      <c r="C2675" s="9" t="s">
        <v>1158</v>
      </c>
      <c r="E2675" s="35" t="s">
        <v>3</v>
      </c>
      <c r="F2675" s="35" t="s">
        <v>3</v>
      </c>
      <c r="G2675" s="35" t="s">
        <v>3</v>
      </c>
      <c r="H2675" s="35" t="s">
        <v>3</v>
      </c>
      <c r="I2675" s="35" t="s">
        <v>3</v>
      </c>
      <c r="J2675" s="35" t="s">
        <v>3</v>
      </c>
      <c r="K2675" s="35" t="s">
        <v>3</v>
      </c>
      <c r="L2675" s="35" t="s">
        <v>3</v>
      </c>
      <c r="M2675" s="37">
        <f t="shared" si="927"/>
        <v>3.67</v>
      </c>
      <c r="N2675" s="1"/>
    </row>
    <row r="2676" spans="3:14" x14ac:dyDescent="0.2">
      <c r="C2676" s="22" t="s">
        <v>1159</v>
      </c>
      <c r="D2676" s="14"/>
      <c r="E2676" s="78" t="s">
        <v>3</v>
      </c>
      <c r="F2676" s="78" t="s">
        <v>3</v>
      </c>
      <c r="G2676" s="78" t="s">
        <v>3</v>
      </c>
      <c r="H2676" s="78" t="s">
        <v>3</v>
      </c>
      <c r="I2676" s="78" t="s">
        <v>3</v>
      </c>
      <c r="J2676" s="78" t="s">
        <v>3</v>
      </c>
      <c r="K2676" s="78" t="s">
        <v>3</v>
      </c>
      <c r="L2676" s="78" t="s">
        <v>3</v>
      </c>
      <c r="M2676" s="81">
        <f t="shared" si="927"/>
        <v>0</v>
      </c>
      <c r="N2676" s="1"/>
    </row>
    <row r="2677" spans="3:14" x14ac:dyDescent="0.2">
      <c r="C2677" s="9" t="s">
        <v>1160</v>
      </c>
      <c r="E2677" s="35" t="s">
        <v>3</v>
      </c>
      <c r="F2677" s="35" t="s">
        <v>3</v>
      </c>
      <c r="G2677" s="35" t="s">
        <v>3</v>
      </c>
      <c r="H2677" s="35" t="s">
        <v>3</v>
      </c>
      <c r="I2677" s="35" t="s">
        <v>3</v>
      </c>
      <c r="J2677" s="35" t="s">
        <v>3</v>
      </c>
      <c r="K2677" s="35" t="s">
        <v>3</v>
      </c>
      <c r="L2677" s="35" t="s">
        <v>3</v>
      </c>
      <c r="M2677" s="37">
        <f t="shared" si="927"/>
        <v>59.989999999999995</v>
      </c>
      <c r="N2677" s="1"/>
    </row>
    <row r="2678" spans="3:14" x14ac:dyDescent="0.2">
      <c r="C2678" s="9"/>
      <c r="E2678" s="35"/>
      <c r="F2678" s="35"/>
      <c r="G2678" s="35"/>
      <c r="H2678" s="35"/>
      <c r="I2678" s="35"/>
      <c r="J2678" s="35"/>
      <c r="K2678" s="35"/>
      <c r="L2678" s="35"/>
      <c r="M2678" s="37"/>
      <c r="N2678" s="1"/>
    </row>
    <row r="2679" spans="3:14" x14ac:dyDescent="0.2">
      <c r="C2679" s="9" t="s">
        <v>1161</v>
      </c>
      <c r="E2679" s="35" t="s">
        <v>3</v>
      </c>
      <c r="F2679" s="35" t="s">
        <v>3</v>
      </c>
      <c r="G2679" s="35" t="s">
        <v>3</v>
      </c>
      <c r="H2679" s="35" t="s">
        <v>3</v>
      </c>
      <c r="I2679" s="35" t="s">
        <v>3</v>
      </c>
      <c r="J2679" s="35" t="s">
        <v>3</v>
      </c>
      <c r="K2679" s="35" t="s">
        <v>3</v>
      </c>
      <c r="L2679" s="35" t="s">
        <v>3</v>
      </c>
      <c r="M2679" s="1">
        <v>1.76</v>
      </c>
    </row>
    <row r="2680" spans="3:14" x14ac:dyDescent="0.2">
      <c r="C2680" s="9" t="s">
        <v>1162</v>
      </c>
      <c r="E2680" s="35" t="s">
        <v>3</v>
      </c>
      <c r="F2680" s="35" t="s">
        <v>3</v>
      </c>
      <c r="G2680" s="35" t="s">
        <v>3</v>
      </c>
      <c r="H2680" s="35" t="s">
        <v>3</v>
      </c>
      <c r="I2680" s="35" t="s">
        <v>3</v>
      </c>
      <c r="J2680" s="35" t="s">
        <v>3</v>
      </c>
      <c r="K2680" s="35" t="s">
        <v>3</v>
      </c>
      <c r="L2680" s="35" t="s">
        <v>3</v>
      </c>
      <c r="M2680" s="1">
        <v>14.85</v>
      </c>
      <c r="N2680" s="1"/>
    </row>
    <row r="2681" spans="3:14" x14ac:dyDescent="0.2">
      <c r="C2681" s="9" t="s">
        <v>1163</v>
      </c>
      <c r="E2681" s="35" t="s">
        <v>3</v>
      </c>
      <c r="F2681" s="35" t="s">
        <v>3</v>
      </c>
      <c r="G2681" s="35" t="s">
        <v>3</v>
      </c>
      <c r="H2681" s="35" t="s">
        <v>3</v>
      </c>
      <c r="I2681" s="35" t="s">
        <v>3</v>
      </c>
      <c r="J2681" s="35" t="s">
        <v>3</v>
      </c>
      <c r="K2681" s="35" t="s">
        <v>3</v>
      </c>
      <c r="L2681" s="35" t="s">
        <v>3</v>
      </c>
      <c r="M2681" s="1">
        <v>5.79</v>
      </c>
      <c r="N2681" s="1"/>
    </row>
    <row r="2682" spans="3:14" x14ac:dyDescent="0.2">
      <c r="C2682" s="9" t="s">
        <v>1164</v>
      </c>
      <c r="E2682" s="35" t="s">
        <v>3</v>
      </c>
      <c r="F2682" s="35" t="s">
        <v>3</v>
      </c>
      <c r="G2682" s="35" t="s">
        <v>3</v>
      </c>
      <c r="H2682" s="35" t="s">
        <v>3</v>
      </c>
      <c r="I2682" s="35" t="s">
        <v>3</v>
      </c>
      <c r="J2682" s="35" t="s">
        <v>3</v>
      </c>
      <c r="K2682" s="35" t="s">
        <v>3</v>
      </c>
      <c r="L2682" s="35" t="s">
        <v>3</v>
      </c>
      <c r="M2682" s="1">
        <v>12.7</v>
      </c>
      <c r="N2682" s="1"/>
    </row>
    <row r="2683" spans="3:14" x14ac:dyDescent="0.2">
      <c r="C2683" s="9" t="s">
        <v>1165</v>
      </c>
      <c r="E2683" s="35" t="s">
        <v>3</v>
      </c>
      <c r="F2683" s="35" t="s">
        <v>3</v>
      </c>
      <c r="G2683" s="35" t="s">
        <v>3</v>
      </c>
      <c r="H2683" s="35" t="s">
        <v>3</v>
      </c>
      <c r="I2683" s="35" t="s">
        <v>3</v>
      </c>
      <c r="J2683" s="35" t="s">
        <v>3</v>
      </c>
      <c r="K2683" s="35" t="s">
        <v>3</v>
      </c>
      <c r="L2683" s="35" t="s">
        <v>3</v>
      </c>
      <c r="M2683" s="1">
        <v>0.23</v>
      </c>
      <c r="N2683" s="1"/>
    </row>
    <row r="2684" spans="3:14" x14ac:dyDescent="0.2">
      <c r="C2684" s="9" t="s">
        <v>1166</v>
      </c>
      <c r="E2684" s="35" t="s">
        <v>3</v>
      </c>
      <c r="F2684" s="35" t="s">
        <v>3</v>
      </c>
      <c r="G2684" s="35" t="s">
        <v>3</v>
      </c>
      <c r="H2684" s="35" t="s">
        <v>3</v>
      </c>
      <c r="I2684" s="35" t="s">
        <v>3</v>
      </c>
      <c r="J2684" s="35" t="s">
        <v>3</v>
      </c>
      <c r="K2684" s="35" t="s">
        <v>3</v>
      </c>
      <c r="L2684" s="35" t="s">
        <v>3</v>
      </c>
      <c r="M2684" s="1">
        <v>0</v>
      </c>
      <c r="N2684" s="1"/>
    </row>
    <row r="2685" spans="3:14" x14ac:dyDescent="0.2">
      <c r="C2685" s="9" t="s">
        <v>1167</v>
      </c>
      <c r="E2685" s="35" t="s">
        <v>3</v>
      </c>
      <c r="F2685" s="35" t="s">
        <v>3</v>
      </c>
      <c r="G2685" s="35" t="s">
        <v>3</v>
      </c>
      <c r="H2685" s="35" t="s">
        <v>3</v>
      </c>
      <c r="I2685" s="35" t="s">
        <v>3</v>
      </c>
      <c r="J2685" s="35" t="s">
        <v>3</v>
      </c>
      <c r="K2685" s="35" t="s">
        <v>3</v>
      </c>
      <c r="L2685" s="35" t="s">
        <v>3</v>
      </c>
      <c r="M2685" s="1">
        <v>0</v>
      </c>
      <c r="N2685" s="1"/>
    </row>
    <row r="2686" spans="3:14" x14ac:dyDescent="0.2">
      <c r="C2686" s="9" t="s">
        <v>1168</v>
      </c>
      <c r="E2686" s="35" t="s">
        <v>3</v>
      </c>
      <c r="F2686" s="35" t="s">
        <v>3</v>
      </c>
      <c r="G2686" s="35" t="s">
        <v>3</v>
      </c>
      <c r="H2686" s="35" t="s">
        <v>3</v>
      </c>
      <c r="I2686" s="35" t="s">
        <v>3</v>
      </c>
      <c r="J2686" s="35" t="s">
        <v>3</v>
      </c>
      <c r="K2686" s="35" t="s">
        <v>3</v>
      </c>
      <c r="L2686" s="35" t="s">
        <v>3</v>
      </c>
      <c r="M2686" s="1">
        <v>0</v>
      </c>
      <c r="N2686" s="1"/>
    </row>
    <row r="2687" spans="3:14" x14ac:dyDescent="0.2">
      <c r="C2687" s="9" t="s">
        <v>1169</v>
      </c>
      <c r="E2687" s="35" t="s">
        <v>3</v>
      </c>
      <c r="F2687" s="35" t="s">
        <v>3</v>
      </c>
      <c r="G2687" s="35" t="s">
        <v>3</v>
      </c>
      <c r="H2687" s="35" t="s">
        <v>3</v>
      </c>
      <c r="I2687" s="35" t="s">
        <v>3</v>
      </c>
      <c r="J2687" s="35" t="s">
        <v>3</v>
      </c>
      <c r="K2687" s="35" t="s">
        <v>3</v>
      </c>
      <c r="L2687" s="35" t="s">
        <v>3</v>
      </c>
      <c r="M2687" s="1">
        <v>0</v>
      </c>
      <c r="N2687" s="1"/>
    </row>
    <row r="2688" spans="3:14" x14ac:dyDescent="0.2">
      <c r="C2688" s="9" t="s">
        <v>1170</v>
      </c>
      <c r="E2688" s="35" t="s">
        <v>3</v>
      </c>
      <c r="F2688" s="35" t="s">
        <v>3</v>
      </c>
      <c r="G2688" s="35" t="s">
        <v>3</v>
      </c>
      <c r="H2688" s="35" t="s">
        <v>3</v>
      </c>
      <c r="I2688" s="35" t="s">
        <v>3</v>
      </c>
      <c r="J2688" s="35" t="s">
        <v>3</v>
      </c>
      <c r="K2688" s="35" t="s">
        <v>3</v>
      </c>
      <c r="L2688" s="35" t="s">
        <v>3</v>
      </c>
      <c r="M2688" s="1">
        <v>0</v>
      </c>
      <c r="N2688" s="1"/>
    </row>
    <row r="2689" spans="3:14" x14ac:dyDescent="0.2">
      <c r="C2689" s="9" t="s">
        <v>1171</v>
      </c>
      <c r="E2689" s="35" t="s">
        <v>3</v>
      </c>
      <c r="F2689" s="35" t="s">
        <v>3</v>
      </c>
      <c r="G2689" s="35" t="s">
        <v>3</v>
      </c>
      <c r="H2689" s="35" t="s">
        <v>3</v>
      </c>
      <c r="I2689" s="35" t="s">
        <v>3</v>
      </c>
      <c r="J2689" s="35" t="s">
        <v>3</v>
      </c>
      <c r="K2689" s="35" t="s">
        <v>3</v>
      </c>
      <c r="L2689" s="35" t="s">
        <v>3</v>
      </c>
      <c r="M2689" s="1">
        <v>0</v>
      </c>
      <c r="N2689" s="1"/>
    </row>
    <row r="2690" spans="3:14" x14ac:dyDescent="0.2">
      <c r="C2690" s="9" t="s">
        <v>1172</v>
      </c>
      <c r="E2690" s="35" t="s">
        <v>3</v>
      </c>
      <c r="F2690" s="35" t="s">
        <v>3</v>
      </c>
      <c r="G2690" s="35" t="s">
        <v>3</v>
      </c>
      <c r="H2690" s="35" t="s">
        <v>3</v>
      </c>
      <c r="I2690" s="35" t="s">
        <v>3</v>
      </c>
      <c r="J2690" s="35" t="s">
        <v>3</v>
      </c>
      <c r="K2690" s="35" t="s">
        <v>3</v>
      </c>
      <c r="L2690" s="35" t="s">
        <v>3</v>
      </c>
      <c r="M2690" s="1">
        <v>0</v>
      </c>
      <c r="N2690" s="1"/>
    </row>
    <row r="2691" spans="3:14" x14ac:dyDescent="0.2">
      <c r="C2691" s="22" t="s">
        <v>1173</v>
      </c>
      <c r="D2691" s="14"/>
      <c r="E2691" s="78" t="s">
        <v>3</v>
      </c>
      <c r="F2691" s="78" t="s">
        <v>3</v>
      </c>
      <c r="G2691" s="78" t="s">
        <v>3</v>
      </c>
      <c r="H2691" s="78" t="s">
        <v>3</v>
      </c>
      <c r="I2691" s="78" t="s">
        <v>3</v>
      </c>
      <c r="J2691" s="78" t="s">
        <v>3</v>
      </c>
      <c r="K2691" s="78" t="s">
        <v>3</v>
      </c>
      <c r="L2691" s="78" t="s">
        <v>3</v>
      </c>
      <c r="M2691" s="80">
        <v>-0.46</v>
      </c>
      <c r="N2691" s="1"/>
    </row>
    <row r="2692" spans="3:14" x14ac:dyDescent="0.2">
      <c r="C2692" s="68" t="s">
        <v>1174</v>
      </c>
      <c r="D2692" s="29"/>
      <c r="E2692" s="82"/>
      <c r="F2692" s="82"/>
      <c r="G2692" s="82"/>
      <c r="H2692" s="82"/>
      <c r="I2692" s="82"/>
      <c r="J2692" s="82"/>
      <c r="K2692" s="82"/>
      <c r="L2692" s="82"/>
      <c r="M2692" s="83">
        <f>SUM(M2690:M2691)</f>
        <v>-0.46</v>
      </c>
      <c r="N2692" s="1"/>
    </row>
    <row r="2693" spans="3:14" x14ac:dyDescent="0.2">
      <c r="C2693" s="84" t="s">
        <v>1175</v>
      </c>
      <c r="D2693" s="85"/>
      <c r="E2693" s="86" t="s">
        <v>3</v>
      </c>
      <c r="F2693" s="86" t="s">
        <v>3</v>
      </c>
      <c r="G2693" s="86" t="s">
        <v>3</v>
      </c>
      <c r="H2693" s="86" t="s">
        <v>3</v>
      </c>
      <c r="I2693" s="86" t="s">
        <v>3</v>
      </c>
      <c r="J2693" s="86" t="s">
        <v>3</v>
      </c>
      <c r="K2693" s="86" t="s">
        <v>3</v>
      </c>
      <c r="L2693" s="86" t="s">
        <v>3</v>
      </c>
      <c r="M2693" s="87">
        <f>SUM(M2679:M2689)+M2692</f>
        <v>34.86999999999999</v>
      </c>
      <c r="N2693" s="1"/>
    </row>
    <row r="2694" spans="3:14" x14ac:dyDescent="0.2">
      <c r="C2694" s="9" t="s">
        <v>1176</v>
      </c>
      <c r="E2694" s="35" t="s">
        <v>3</v>
      </c>
      <c r="F2694" s="35" t="s">
        <v>3</v>
      </c>
      <c r="G2694" s="35" t="s">
        <v>3</v>
      </c>
      <c r="H2694" s="35" t="s">
        <v>3</v>
      </c>
      <c r="I2694" s="35" t="s">
        <v>3</v>
      </c>
      <c r="J2694" s="35" t="s">
        <v>3</v>
      </c>
      <c r="K2694" s="35" t="s">
        <v>3</v>
      </c>
      <c r="L2694" s="35" t="s">
        <v>3</v>
      </c>
      <c r="M2694" s="38">
        <v>0.01</v>
      </c>
      <c r="N2694" s="1"/>
    </row>
    <row r="2695" spans="3:14" x14ac:dyDescent="0.2">
      <c r="C2695" s="9" t="s">
        <v>1177</v>
      </c>
      <c r="E2695" s="35" t="s">
        <v>3</v>
      </c>
      <c r="F2695" s="35" t="s">
        <v>3</v>
      </c>
      <c r="G2695" s="35" t="s">
        <v>3</v>
      </c>
      <c r="H2695" s="35" t="s">
        <v>3</v>
      </c>
      <c r="I2695" s="35" t="s">
        <v>3</v>
      </c>
      <c r="J2695" s="35" t="s">
        <v>3</v>
      </c>
      <c r="K2695" s="35" t="s">
        <v>3</v>
      </c>
      <c r="L2695" s="35" t="s">
        <v>3</v>
      </c>
      <c r="M2695" s="38">
        <v>2</v>
      </c>
      <c r="N2695" s="1"/>
    </row>
    <row r="2696" spans="3:14" x14ac:dyDescent="0.2">
      <c r="C2696" s="22" t="s">
        <v>1178</v>
      </c>
      <c r="D2696" s="14"/>
      <c r="E2696" s="78" t="s">
        <v>3</v>
      </c>
      <c r="F2696" s="78" t="s">
        <v>3</v>
      </c>
      <c r="G2696" s="78" t="s">
        <v>3</v>
      </c>
      <c r="H2696" s="78" t="s">
        <v>3</v>
      </c>
      <c r="I2696" s="78" t="s">
        <v>3</v>
      </c>
      <c r="J2696" s="78" t="s">
        <v>3</v>
      </c>
      <c r="K2696" s="78" t="s">
        <v>3</v>
      </c>
      <c r="L2696" s="78" t="s">
        <v>3</v>
      </c>
      <c r="M2696" s="89">
        <v>0</v>
      </c>
      <c r="N2696" s="1"/>
    </row>
    <row r="2697" spans="3:14" x14ac:dyDescent="0.2">
      <c r="C2697" s="9" t="s">
        <v>1179</v>
      </c>
      <c r="E2697" s="35" t="s">
        <v>3</v>
      </c>
      <c r="F2697" s="35" t="s">
        <v>3</v>
      </c>
      <c r="G2697" s="35" t="s">
        <v>3</v>
      </c>
      <c r="H2697" s="35" t="s">
        <v>3</v>
      </c>
      <c r="I2697" s="35" t="s">
        <v>3</v>
      </c>
      <c r="J2697" s="35" t="s">
        <v>3</v>
      </c>
      <c r="K2697" s="35" t="s">
        <v>3</v>
      </c>
      <c r="L2697" s="35" t="s">
        <v>3</v>
      </c>
      <c r="M2697" s="37">
        <f>M2693-SUM(M2694:M2696)</f>
        <v>32.859999999999992</v>
      </c>
      <c r="N2697" s="1"/>
    </row>
    <row r="2698" spans="3:14" x14ac:dyDescent="0.2">
      <c r="C2698" s="9"/>
      <c r="E2698" s="35"/>
      <c r="F2698" s="35"/>
      <c r="G2698" s="35"/>
      <c r="H2698" s="35"/>
      <c r="I2698" s="35"/>
      <c r="J2698" s="35"/>
      <c r="K2698" s="35"/>
      <c r="L2698" s="35"/>
      <c r="M2698" s="37"/>
      <c r="N2698" s="1"/>
    </row>
    <row r="2699" spans="3:14" x14ac:dyDescent="0.2">
      <c r="C2699" s="9" t="s">
        <v>1180</v>
      </c>
      <c r="E2699" s="35" t="s">
        <v>3</v>
      </c>
      <c r="F2699" s="35" t="s">
        <v>3</v>
      </c>
      <c r="G2699" s="35" t="s">
        <v>3</v>
      </c>
      <c r="H2699" s="35" t="s">
        <v>3</v>
      </c>
      <c r="I2699" s="35" t="s">
        <v>3</v>
      </c>
      <c r="J2699" s="35" t="s">
        <v>3</v>
      </c>
      <c r="K2699" s="35" t="s">
        <v>3</v>
      </c>
      <c r="L2699" s="35" t="s">
        <v>3</v>
      </c>
      <c r="M2699" s="1">
        <v>1.94</v>
      </c>
    </row>
    <row r="2700" spans="3:14" x14ac:dyDescent="0.2">
      <c r="C2700" s="9" t="s">
        <v>1181</v>
      </c>
      <c r="E2700" s="35" t="s">
        <v>3</v>
      </c>
      <c r="F2700" s="35" t="s">
        <v>3</v>
      </c>
      <c r="G2700" s="35" t="s">
        <v>3</v>
      </c>
      <c r="H2700" s="35" t="s">
        <v>3</v>
      </c>
      <c r="I2700" s="35" t="s">
        <v>3</v>
      </c>
      <c r="J2700" s="35" t="s">
        <v>3</v>
      </c>
      <c r="K2700" s="35" t="s">
        <v>3</v>
      </c>
      <c r="L2700" s="35" t="s">
        <v>3</v>
      </c>
      <c r="M2700" s="1">
        <v>12.48</v>
      </c>
      <c r="N2700" s="1"/>
    </row>
    <row r="2701" spans="3:14" x14ac:dyDescent="0.2">
      <c r="C2701" s="9" t="s">
        <v>1182</v>
      </c>
      <c r="E2701" s="35" t="s">
        <v>3</v>
      </c>
      <c r="F2701" s="35" t="s">
        <v>3</v>
      </c>
      <c r="G2701" s="35" t="s">
        <v>3</v>
      </c>
      <c r="H2701" s="35" t="s">
        <v>3</v>
      </c>
      <c r="I2701" s="35" t="s">
        <v>3</v>
      </c>
      <c r="J2701" s="35" t="s">
        <v>3</v>
      </c>
      <c r="K2701" s="35" t="s">
        <v>3</v>
      </c>
      <c r="L2701" s="35" t="s">
        <v>3</v>
      </c>
      <c r="M2701" s="1">
        <v>10.81</v>
      </c>
      <c r="N2701" s="1"/>
    </row>
    <row r="2702" spans="3:14" x14ac:dyDescent="0.2">
      <c r="C2702" s="9" t="s">
        <v>1183</v>
      </c>
      <c r="E2702" s="35" t="s">
        <v>3</v>
      </c>
      <c r="F2702" s="35" t="s">
        <v>3</v>
      </c>
      <c r="G2702" s="35" t="s">
        <v>3</v>
      </c>
      <c r="H2702" s="35" t="s">
        <v>3</v>
      </c>
      <c r="I2702" s="35" t="s">
        <v>3</v>
      </c>
      <c r="J2702" s="35" t="s">
        <v>3</v>
      </c>
      <c r="K2702" s="35" t="s">
        <v>3</v>
      </c>
      <c r="L2702" s="35" t="s">
        <v>3</v>
      </c>
      <c r="M2702" s="1">
        <v>6.26</v>
      </c>
      <c r="N2702" s="1"/>
    </row>
    <row r="2703" spans="3:14" x14ac:dyDescent="0.2">
      <c r="C2703" s="9" t="s">
        <v>1184</v>
      </c>
      <c r="E2703" s="35" t="s">
        <v>3</v>
      </c>
      <c r="F2703" s="35" t="s">
        <v>3</v>
      </c>
      <c r="G2703" s="35" t="s">
        <v>3</v>
      </c>
      <c r="H2703" s="35" t="s">
        <v>3</v>
      </c>
      <c r="I2703" s="35" t="s">
        <v>3</v>
      </c>
      <c r="J2703" s="35" t="s">
        <v>3</v>
      </c>
      <c r="K2703" s="35" t="s">
        <v>3</v>
      </c>
      <c r="L2703" s="35" t="s">
        <v>3</v>
      </c>
      <c r="M2703" s="1">
        <v>0.54</v>
      </c>
      <c r="N2703" s="1"/>
    </row>
    <row r="2704" spans="3:14" x14ac:dyDescent="0.2">
      <c r="C2704" s="9" t="s">
        <v>1185</v>
      </c>
      <c r="E2704" s="35" t="s">
        <v>3</v>
      </c>
      <c r="F2704" s="35" t="s">
        <v>3</v>
      </c>
      <c r="G2704" s="35" t="s">
        <v>3</v>
      </c>
      <c r="H2704" s="35" t="s">
        <v>3</v>
      </c>
      <c r="I2704" s="35" t="s">
        <v>3</v>
      </c>
      <c r="J2704" s="35" t="s">
        <v>3</v>
      </c>
      <c r="K2704" s="35" t="s">
        <v>3</v>
      </c>
      <c r="L2704" s="35" t="s">
        <v>3</v>
      </c>
      <c r="M2704" s="1">
        <v>0</v>
      </c>
      <c r="N2704" s="1"/>
    </row>
    <row r="2705" spans="2:14" x14ac:dyDescent="0.2">
      <c r="C2705" s="9" t="s">
        <v>1186</v>
      </c>
      <c r="E2705" s="35" t="s">
        <v>3</v>
      </c>
      <c r="F2705" s="35" t="s">
        <v>3</v>
      </c>
      <c r="G2705" s="35" t="s">
        <v>3</v>
      </c>
      <c r="H2705" s="35" t="s">
        <v>3</v>
      </c>
      <c r="I2705" s="35" t="s">
        <v>3</v>
      </c>
      <c r="J2705" s="35" t="s">
        <v>3</v>
      </c>
      <c r="K2705" s="35" t="s">
        <v>3</v>
      </c>
      <c r="L2705" s="35" t="s">
        <v>3</v>
      </c>
      <c r="M2705" s="1">
        <v>0</v>
      </c>
      <c r="N2705" s="1"/>
    </row>
    <row r="2706" spans="2:14" x14ac:dyDescent="0.2">
      <c r="C2706" s="9" t="s">
        <v>1187</v>
      </c>
      <c r="E2706" s="35" t="s">
        <v>3</v>
      </c>
      <c r="F2706" s="35" t="s">
        <v>3</v>
      </c>
      <c r="G2706" s="35" t="s">
        <v>3</v>
      </c>
      <c r="H2706" s="35" t="s">
        <v>3</v>
      </c>
      <c r="I2706" s="35" t="s">
        <v>3</v>
      </c>
      <c r="J2706" s="35" t="s">
        <v>3</v>
      </c>
      <c r="K2706" s="35" t="s">
        <v>3</v>
      </c>
      <c r="L2706" s="35" t="s">
        <v>3</v>
      </c>
      <c r="M2706" s="1">
        <v>0</v>
      </c>
      <c r="N2706" s="1"/>
    </row>
    <row r="2707" spans="2:14" x14ac:dyDescent="0.2">
      <c r="C2707" s="9" t="s">
        <v>1188</v>
      </c>
      <c r="E2707" s="35" t="s">
        <v>3</v>
      </c>
      <c r="F2707" s="35" t="s">
        <v>3</v>
      </c>
      <c r="G2707" s="35" t="s">
        <v>3</v>
      </c>
      <c r="H2707" s="35" t="s">
        <v>3</v>
      </c>
      <c r="I2707" s="35" t="s">
        <v>3</v>
      </c>
      <c r="J2707" s="35" t="s">
        <v>3</v>
      </c>
      <c r="K2707" s="35" t="s">
        <v>3</v>
      </c>
      <c r="L2707" s="35" t="s">
        <v>3</v>
      </c>
      <c r="M2707" s="1">
        <v>0</v>
      </c>
      <c r="N2707" s="1"/>
    </row>
    <row r="2708" spans="2:14" x14ac:dyDescent="0.2">
      <c r="C2708" s="9" t="s">
        <v>1189</v>
      </c>
      <c r="E2708" s="35" t="s">
        <v>3</v>
      </c>
      <c r="F2708" s="35" t="s">
        <v>3</v>
      </c>
      <c r="G2708" s="35" t="s">
        <v>3</v>
      </c>
      <c r="H2708" s="35" t="s">
        <v>3</v>
      </c>
      <c r="I2708" s="35" t="s">
        <v>3</v>
      </c>
      <c r="J2708" s="35" t="s">
        <v>3</v>
      </c>
      <c r="K2708" s="35" t="s">
        <v>3</v>
      </c>
      <c r="L2708" s="35" t="s">
        <v>3</v>
      </c>
      <c r="M2708" s="1">
        <v>0</v>
      </c>
      <c r="N2708" s="1"/>
    </row>
    <row r="2709" spans="2:14" x14ac:dyDescent="0.2">
      <c r="C2709" s="9" t="s">
        <v>1190</v>
      </c>
      <c r="E2709" s="35" t="s">
        <v>3</v>
      </c>
      <c r="F2709" s="35" t="s">
        <v>3</v>
      </c>
      <c r="G2709" s="35" t="s">
        <v>3</v>
      </c>
      <c r="H2709" s="35" t="s">
        <v>3</v>
      </c>
      <c r="I2709" s="35" t="s">
        <v>3</v>
      </c>
      <c r="J2709" s="35" t="s">
        <v>3</v>
      </c>
      <c r="K2709" s="35" t="s">
        <v>3</v>
      </c>
      <c r="L2709" s="35" t="s">
        <v>3</v>
      </c>
      <c r="M2709" s="1">
        <v>0</v>
      </c>
      <c r="N2709" s="1"/>
    </row>
    <row r="2710" spans="2:14" x14ac:dyDescent="0.2">
      <c r="C2710" s="9" t="s">
        <v>1191</v>
      </c>
      <c r="E2710" s="35" t="s">
        <v>3</v>
      </c>
      <c r="F2710" s="35" t="s">
        <v>3</v>
      </c>
      <c r="G2710" s="35" t="s">
        <v>3</v>
      </c>
      <c r="H2710" s="35" t="s">
        <v>3</v>
      </c>
      <c r="I2710" s="35" t="s">
        <v>3</v>
      </c>
      <c r="J2710" s="35" t="s">
        <v>3</v>
      </c>
      <c r="K2710" s="35" t="s">
        <v>3</v>
      </c>
      <c r="L2710" s="35" t="s">
        <v>3</v>
      </c>
      <c r="M2710" s="1">
        <v>0</v>
      </c>
      <c r="N2710" s="1"/>
    </row>
    <row r="2711" spans="2:14" x14ac:dyDescent="0.2">
      <c r="C2711" s="22" t="s">
        <v>1192</v>
      </c>
      <c r="D2711" s="14"/>
      <c r="E2711" s="78" t="s">
        <v>3</v>
      </c>
      <c r="F2711" s="78" t="s">
        <v>3</v>
      </c>
      <c r="G2711" s="78" t="s">
        <v>3</v>
      </c>
      <c r="H2711" s="78" t="s">
        <v>3</v>
      </c>
      <c r="I2711" s="78" t="s">
        <v>3</v>
      </c>
      <c r="J2711" s="78" t="s">
        <v>3</v>
      </c>
      <c r="K2711" s="78" t="s">
        <v>3</v>
      </c>
      <c r="L2711" s="78" t="s">
        <v>3</v>
      </c>
      <c r="M2711" s="80">
        <v>-2.9</v>
      </c>
      <c r="N2711" s="1"/>
    </row>
    <row r="2712" spans="2:14" x14ac:dyDescent="0.2">
      <c r="C2712" s="68" t="s">
        <v>1174</v>
      </c>
      <c r="D2712" s="29"/>
      <c r="E2712" s="78" t="s">
        <v>3</v>
      </c>
      <c r="F2712" s="78" t="s">
        <v>3</v>
      </c>
      <c r="G2712" s="78" t="s">
        <v>3</v>
      </c>
      <c r="H2712" s="78" t="s">
        <v>3</v>
      </c>
      <c r="I2712" s="78" t="s">
        <v>3</v>
      </c>
      <c r="J2712" s="78" t="s">
        <v>3</v>
      </c>
      <c r="K2712" s="78" t="s">
        <v>3</v>
      </c>
      <c r="L2712" s="78" t="s">
        <v>3</v>
      </c>
      <c r="M2712" s="83">
        <f>SUM(M2710:M2711)</f>
        <v>-2.9</v>
      </c>
      <c r="N2712" s="1"/>
    </row>
    <row r="2713" spans="2:14" x14ac:dyDescent="0.2">
      <c r="C2713" s="84" t="s">
        <v>1193</v>
      </c>
      <c r="D2713" s="85"/>
      <c r="E2713" s="86" t="s">
        <v>3</v>
      </c>
      <c r="F2713" s="86" t="s">
        <v>3</v>
      </c>
      <c r="G2713" s="86" t="s">
        <v>3</v>
      </c>
      <c r="H2713" s="86" t="s">
        <v>3</v>
      </c>
      <c r="I2713" s="86" t="s">
        <v>3</v>
      </c>
      <c r="J2713" s="86" t="s">
        <v>3</v>
      </c>
      <c r="K2713" s="86" t="s">
        <v>3</v>
      </c>
      <c r="L2713" s="86" t="s">
        <v>3</v>
      </c>
      <c r="M2713" s="87">
        <f>SUM(M2699:M2709)+M2712</f>
        <v>29.130000000000003</v>
      </c>
      <c r="N2713" s="1"/>
    </row>
    <row r="2714" spans="2:14" x14ac:dyDescent="0.2">
      <c r="C2714" s="9" t="s">
        <v>1194</v>
      </c>
      <c r="E2714" s="35" t="s">
        <v>3</v>
      </c>
      <c r="F2714" s="35" t="s">
        <v>3</v>
      </c>
      <c r="G2714" s="35" t="s">
        <v>3</v>
      </c>
      <c r="H2714" s="35" t="s">
        <v>3</v>
      </c>
      <c r="I2714" s="35" t="s">
        <v>3</v>
      </c>
      <c r="J2714" s="35" t="s">
        <v>3</v>
      </c>
      <c r="K2714" s="35" t="s">
        <v>3</v>
      </c>
      <c r="L2714" s="35" t="s">
        <v>3</v>
      </c>
      <c r="M2714" s="52">
        <v>0.33</v>
      </c>
      <c r="N2714" s="1"/>
    </row>
    <row r="2715" spans="2:14" x14ac:dyDescent="0.2">
      <c r="C2715" s="9" t="s">
        <v>1195</v>
      </c>
      <c r="E2715" s="35" t="s">
        <v>3</v>
      </c>
      <c r="F2715" s="35" t="s">
        <v>3</v>
      </c>
      <c r="G2715" s="35" t="s">
        <v>3</v>
      </c>
      <c r="H2715" s="35" t="s">
        <v>3</v>
      </c>
      <c r="I2715" s="35" t="s">
        <v>3</v>
      </c>
      <c r="J2715" s="35" t="s">
        <v>3</v>
      </c>
      <c r="K2715" s="35" t="s">
        <v>3</v>
      </c>
      <c r="L2715" s="35" t="s">
        <v>3</v>
      </c>
      <c r="M2715" s="52">
        <v>1.67</v>
      </c>
      <c r="N2715" s="1"/>
    </row>
    <row r="2716" spans="2:14" x14ac:dyDescent="0.2">
      <c r="C2716" s="22" t="s">
        <v>1196</v>
      </c>
      <c r="D2716" s="14"/>
      <c r="E2716" s="78" t="s">
        <v>3</v>
      </c>
      <c r="F2716" s="78" t="s">
        <v>3</v>
      </c>
      <c r="G2716" s="78" t="s">
        <v>3</v>
      </c>
      <c r="H2716" s="78" t="s">
        <v>3</v>
      </c>
      <c r="I2716" s="78" t="s">
        <v>3</v>
      </c>
      <c r="J2716" s="78" t="s">
        <v>3</v>
      </c>
      <c r="K2716" s="78" t="s">
        <v>3</v>
      </c>
      <c r="L2716" s="78" t="s">
        <v>3</v>
      </c>
      <c r="M2716" s="89">
        <v>0</v>
      </c>
      <c r="N2716" s="1"/>
    </row>
    <row r="2717" spans="2:14" x14ac:dyDescent="0.2">
      <c r="C2717" s="9" t="s">
        <v>1197</v>
      </c>
      <c r="E2717" s="35" t="s">
        <v>3</v>
      </c>
      <c r="F2717" s="35" t="s">
        <v>3</v>
      </c>
      <c r="G2717" s="35" t="s">
        <v>3</v>
      </c>
      <c r="H2717" s="35" t="s">
        <v>3</v>
      </c>
      <c r="I2717" s="35" t="s">
        <v>3</v>
      </c>
      <c r="J2717" s="35" t="s">
        <v>3</v>
      </c>
      <c r="K2717" s="35" t="s">
        <v>3</v>
      </c>
      <c r="L2717" s="35" t="s">
        <v>3</v>
      </c>
      <c r="M2717" s="37">
        <f>M2713-SUM(M2714:M2716)</f>
        <v>27.130000000000003</v>
      </c>
      <c r="N2717" s="1"/>
    </row>
    <row r="2718" spans="2:14" x14ac:dyDescent="0.2">
      <c r="C2718" s="9"/>
      <c r="E2718" s="35"/>
      <c r="F2718" s="35"/>
      <c r="G2718" s="35"/>
      <c r="H2718" s="35"/>
      <c r="I2718" s="35"/>
      <c r="J2718" s="35"/>
      <c r="K2718" s="35"/>
      <c r="L2718" s="35"/>
      <c r="M2718" s="37"/>
      <c r="N2718" s="1"/>
    </row>
    <row r="2719" spans="2:14" ht="15" x14ac:dyDescent="0.25">
      <c r="B2719" s="2" t="s">
        <v>903</v>
      </c>
      <c r="C2719" s="9"/>
      <c r="E2719" s="35"/>
      <c r="F2719" s="35"/>
      <c r="G2719" s="35"/>
      <c r="H2719" s="35"/>
      <c r="I2719" s="35"/>
      <c r="J2719" s="35"/>
      <c r="K2719" s="35"/>
      <c r="L2719" s="35"/>
      <c r="M2719" s="37"/>
      <c r="N2719" s="1"/>
    </row>
    <row r="2720" spans="2:14" ht="15" x14ac:dyDescent="0.25">
      <c r="B2720" s="2"/>
      <c r="C2720" s="13" t="s">
        <v>259</v>
      </c>
      <c r="E2720" s="35"/>
      <c r="F2720" s="35"/>
      <c r="G2720" s="35"/>
      <c r="H2720" s="35"/>
      <c r="I2720" s="35"/>
      <c r="J2720" s="35"/>
      <c r="K2720" s="35"/>
      <c r="L2720" s="35"/>
      <c r="M2720" s="37"/>
      <c r="N2720" s="1"/>
    </row>
    <row r="2721" spans="3:14" x14ac:dyDescent="0.2">
      <c r="C2721" s="9" t="s">
        <v>908</v>
      </c>
      <c r="E2721" s="35" t="s">
        <v>3</v>
      </c>
      <c r="F2721" s="35" t="s">
        <v>3</v>
      </c>
      <c r="G2721" s="35" t="s">
        <v>3</v>
      </c>
      <c r="H2721" s="35" t="s">
        <v>3</v>
      </c>
      <c r="I2721" s="35" t="s">
        <v>3</v>
      </c>
      <c r="J2721" s="35" t="s">
        <v>3</v>
      </c>
      <c r="K2721" s="35" t="s">
        <v>3</v>
      </c>
      <c r="L2721" s="35" t="s">
        <v>3</v>
      </c>
      <c r="M2721" s="34">
        <v>6</v>
      </c>
    </row>
    <row r="2722" spans="3:14" x14ac:dyDescent="0.2">
      <c r="C2722" s="9" t="s">
        <v>907</v>
      </c>
      <c r="E2722" s="35" t="s">
        <v>3</v>
      </c>
      <c r="F2722" s="35" t="s">
        <v>3</v>
      </c>
      <c r="G2722" s="35" t="s">
        <v>3</v>
      </c>
      <c r="H2722" s="35" t="s">
        <v>3</v>
      </c>
      <c r="I2722" s="35" t="s">
        <v>3</v>
      </c>
      <c r="J2722" s="35" t="s">
        <v>3</v>
      </c>
      <c r="K2722" s="35" t="s">
        <v>3</v>
      </c>
      <c r="L2722" s="35" t="s">
        <v>3</v>
      </c>
      <c r="M2722" s="34">
        <v>12.122</v>
      </c>
      <c r="N2722" s="1"/>
    </row>
    <row r="2723" spans="3:14" x14ac:dyDescent="0.2">
      <c r="C2723" s="9" t="s">
        <v>906</v>
      </c>
      <c r="E2723" s="35" t="s">
        <v>3</v>
      </c>
      <c r="F2723" s="35" t="s">
        <v>3</v>
      </c>
      <c r="G2723" s="35" t="s">
        <v>3</v>
      </c>
      <c r="H2723" s="35" t="s">
        <v>3</v>
      </c>
      <c r="I2723" s="35" t="s">
        <v>3</v>
      </c>
      <c r="J2723" s="35" t="s">
        <v>3</v>
      </c>
      <c r="K2723" s="35" t="s">
        <v>3</v>
      </c>
      <c r="L2723" s="35" t="s">
        <v>3</v>
      </c>
      <c r="M2723" s="34">
        <v>4.5</v>
      </c>
      <c r="N2723" s="1"/>
    </row>
    <row r="2724" spans="3:14" x14ac:dyDescent="0.2">
      <c r="C2724" s="9" t="s">
        <v>909</v>
      </c>
      <c r="E2724" s="35" t="s">
        <v>3</v>
      </c>
      <c r="F2724" s="35" t="s">
        <v>3</v>
      </c>
      <c r="G2724" s="35" t="s">
        <v>3</v>
      </c>
      <c r="H2724" s="35" t="s">
        <v>3</v>
      </c>
      <c r="I2724" s="35" t="s">
        <v>3</v>
      </c>
      <c r="J2724" s="35" t="s">
        <v>3</v>
      </c>
      <c r="K2724" s="35" t="s">
        <v>3</v>
      </c>
      <c r="L2724" s="35" t="s">
        <v>3</v>
      </c>
      <c r="M2724" s="34">
        <v>5.5</v>
      </c>
      <c r="N2724" s="1"/>
    </row>
    <row r="2725" spans="3:14" x14ac:dyDescent="0.2">
      <c r="C2725" s="9" t="s">
        <v>910</v>
      </c>
      <c r="E2725" s="35" t="s">
        <v>3</v>
      </c>
      <c r="F2725" s="35" t="s">
        <v>3</v>
      </c>
      <c r="G2725" s="35" t="s">
        <v>3</v>
      </c>
      <c r="H2725" s="35" t="s">
        <v>3</v>
      </c>
      <c r="I2725" s="35" t="s">
        <v>3</v>
      </c>
      <c r="J2725" s="35" t="s">
        <v>3</v>
      </c>
      <c r="K2725" s="35" t="s">
        <v>3</v>
      </c>
      <c r="L2725" s="35" t="s">
        <v>3</v>
      </c>
      <c r="M2725" s="34">
        <v>3.72</v>
      </c>
      <c r="N2725" s="1"/>
    </row>
    <row r="2726" spans="3:14" x14ac:dyDescent="0.2">
      <c r="C2726" s="9" t="s">
        <v>101</v>
      </c>
      <c r="E2726" s="35" t="s">
        <v>3</v>
      </c>
      <c r="F2726" s="35" t="s">
        <v>3</v>
      </c>
      <c r="G2726" s="35" t="s">
        <v>3</v>
      </c>
      <c r="H2726" s="35" t="s">
        <v>3</v>
      </c>
      <c r="I2726" s="35" t="s">
        <v>3</v>
      </c>
      <c r="J2726" s="35" t="s">
        <v>3</v>
      </c>
      <c r="K2726" s="35" t="s">
        <v>3</v>
      </c>
      <c r="L2726" s="35" t="s">
        <v>3</v>
      </c>
      <c r="M2726" s="34">
        <v>20.100000000000001</v>
      </c>
      <c r="N2726" s="1"/>
    </row>
    <row r="2727" spans="3:14" x14ac:dyDescent="0.2">
      <c r="C2727" s="9" t="s">
        <v>7</v>
      </c>
      <c r="E2727" s="35" t="s">
        <v>3</v>
      </c>
      <c r="F2727" s="35" t="s">
        <v>3</v>
      </c>
      <c r="G2727" s="35" t="s">
        <v>3</v>
      </c>
      <c r="H2727" s="35" t="s">
        <v>3</v>
      </c>
      <c r="I2727" s="35" t="s">
        <v>3</v>
      </c>
      <c r="J2727" s="35" t="s">
        <v>3</v>
      </c>
      <c r="K2727" s="35" t="s">
        <v>3</v>
      </c>
      <c r="L2727" s="35" t="s">
        <v>3</v>
      </c>
      <c r="M2727" s="34">
        <v>8.1</v>
      </c>
      <c r="N2727" s="1"/>
    </row>
    <row r="2728" spans="3:14" x14ac:dyDescent="0.2">
      <c r="C2728" s="9" t="s">
        <v>8</v>
      </c>
      <c r="E2728" s="35" t="s">
        <v>3</v>
      </c>
      <c r="F2728" s="35" t="s">
        <v>3</v>
      </c>
      <c r="G2728" s="35" t="s">
        <v>3</v>
      </c>
      <c r="H2728" s="35" t="s">
        <v>3</v>
      </c>
      <c r="I2728" s="35" t="s">
        <v>3</v>
      </c>
      <c r="J2728" s="35" t="s">
        <v>3</v>
      </c>
      <c r="K2728" s="35" t="s">
        <v>3</v>
      </c>
      <c r="L2728" s="35" t="s">
        <v>3</v>
      </c>
      <c r="M2728" s="34">
        <v>12.584</v>
      </c>
      <c r="N2728" s="1"/>
    </row>
    <row r="2729" spans="3:14" x14ac:dyDescent="0.2">
      <c r="C2729" s="9" t="s">
        <v>905</v>
      </c>
      <c r="E2729" s="35" t="s">
        <v>3</v>
      </c>
      <c r="F2729" s="35" t="s">
        <v>3</v>
      </c>
      <c r="G2729" s="35" t="s">
        <v>3</v>
      </c>
      <c r="H2729" s="35" t="s">
        <v>3</v>
      </c>
      <c r="I2729" s="35" t="s">
        <v>3</v>
      </c>
      <c r="J2729" s="35" t="s">
        <v>3</v>
      </c>
      <c r="K2729" s="35" t="s">
        <v>3</v>
      </c>
      <c r="L2729" s="35" t="s">
        <v>3</v>
      </c>
      <c r="M2729" s="34">
        <v>6.6829999999999998</v>
      </c>
      <c r="N2729" s="1"/>
    </row>
    <row r="2730" spans="3:14" x14ac:dyDescent="0.2">
      <c r="C2730" s="9" t="s">
        <v>911</v>
      </c>
      <c r="E2730" s="35" t="s">
        <v>3</v>
      </c>
      <c r="F2730" s="35" t="s">
        <v>3</v>
      </c>
      <c r="G2730" s="35" t="s">
        <v>3</v>
      </c>
      <c r="H2730" s="35" t="s">
        <v>3</v>
      </c>
      <c r="I2730" s="35" t="s">
        <v>3</v>
      </c>
      <c r="J2730" s="35" t="s">
        <v>3</v>
      </c>
      <c r="K2730" s="35" t="s">
        <v>3</v>
      </c>
      <c r="L2730" s="35" t="s">
        <v>3</v>
      </c>
      <c r="M2730" s="34" t="s">
        <v>3</v>
      </c>
      <c r="N2730" s="1"/>
    </row>
    <row r="2731" spans="3:14" x14ac:dyDescent="0.2">
      <c r="C2731" s="9" t="s">
        <v>889</v>
      </c>
      <c r="E2731" s="35" t="s">
        <v>3</v>
      </c>
      <c r="F2731" s="35" t="s">
        <v>3</v>
      </c>
      <c r="G2731" s="35" t="s">
        <v>3</v>
      </c>
      <c r="H2731" s="35" t="s">
        <v>3</v>
      </c>
      <c r="I2731" s="35" t="s">
        <v>3</v>
      </c>
      <c r="J2731" s="35" t="s">
        <v>3</v>
      </c>
      <c r="K2731" s="35" t="s">
        <v>3</v>
      </c>
      <c r="L2731" s="35" t="s">
        <v>3</v>
      </c>
      <c r="M2731" s="34">
        <v>47.17</v>
      </c>
      <c r="N2731" s="1"/>
    </row>
    <row r="2732" spans="3:14" x14ac:dyDescent="0.2">
      <c r="C2732" s="9" t="s">
        <v>819</v>
      </c>
      <c r="E2732" s="35" t="s">
        <v>3</v>
      </c>
      <c r="F2732" s="35" t="s">
        <v>3</v>
      </c>
      <c r="G2732" s="35" t="s">
        <v>3</v>
      </c>
      <c r="H2732" s="35" t="s">
        <v>3</v>
      </c>
      <c r="I2732" s="35" t="s">
        <v>3</v>
      </c>
      <c r="J2732" s="35" t="s">
        <v>3</v>
      </c>
      <c r="K2732" s="35" t="s">
        <v>3</v>
      </c>
      <c r="L2732" s="35" t="s">
        <v>3</v>
      </c>
      <c r="M2732" s="34">
        <v>20.515000000000001</v>
      </c>
      <c r="N2732" s="1"/>
    </row>
    <row r="2733" spans="3:14" x14ac:dyDescent="0.2">
      <c r="C2733" s="9" t="s">
        <v>1147</v>
      </c>
      <c r="E2733" s="35" t="s">
        <v>3</v>
      </c>
      <c r="F2733" s="35" t="s">
        <v>3</v>
      </c>
      <c r="G2733" s="35" t="s">
        <v>3</v>
      </c>
      <c r="H2733" s="35" t="s">
        <v>3</v>
      </c>
      <c r="I2733" s="35" t="s">
        <v>3</v>
      </c>
      <c r="J2733" s="35" t="s">
        <v>3</v>
      </c>
      <c r="K2733" s="35" t="s">
        <v>3</v>
      </c>
      <c r="L2733" s="35" t="s">
        <v>3</v>
      </c>
      <c r="M2733" s="34">
        <v>63.709000000000003</v>
      </c>
      <c r="N2733" s="1"/>
    </row>
    <row r="2734" spans="3:14" x14ac:dyDescent="0.2">
      <c r="C2734" s="9" t="s">
        <v>0</v>
      </c>
      <c r="E2734" s="35" t="s">
        <v>3</v>
      </c>
      <c r="F2734" s="35" t="s">
        <v>3</v>
      </c>
      <c r="G2734" s="35" t="s">
        <v>3</v>
      </c>
      <c r="H2734" s="35" t="s">
        <v>3</v>
      </c>
      <c r="I2734" s="35" t="s">
        <v>3</v>
      </c>
      <c r="J2734" s="35" t="s">
        <v>3</v>
      </c>
      <c r="K2734" s="35" t="s">
        <v>3</v>
      </c>
      <c r="L2734" s="35" t="s">
        <v>3</v>
      </c>
      <c r="M2734" s="34">
        <v>7</v>
      </c>
      <c r="N2734" s="1"/>
    </row>
    <row r="2735" spans="3:14" x14ac:dyDescent="0.2">
      <c r="C2735" s="22" t="s">
        <v>185</v>
      </c>
      <c r="D2735" s="14"/>
      <c r="E2735" s="78" t="s">
        <v>3</v>
      </c>
      <c r="F2735" s="78" t="s">
        <v>3</v>
      </c>
      <c r="G2735" s="78" t="s">
        <v>3</v>
      </c>
      <c r="H2735" s="78" t="s">
        <v>3</v>
      </c>
      <c r="I2735" s="78" t="s">
        <v>3</v>
      </c>
      <c r="J2735" s="78" t="s">
        <v>3</v>
      </c>
      <c r="K2735" s="78" t="s">
        <v>3</v>
      </c>
      <c r="L2735" s="78" t="s">
        <v>3</v>
      </c>
      <c r="M2735" s="106">
        <v>12</v>
      </c>
      <c r="N2735" s="1"/>
    </row>
    <row r="2736" spans="3:14" x14ac:dyDescent="0.2">
      <c r="C2736" s="9" t="s">
        <v>990</v>
      </c>
      <c r="E2736" s="35"/>
      <c r="F2736" s="35"/>
      <c r="G2736" s="35"/>
      <c r="H2736" s="35"/>
      <c r="I2736" s="35"/>
      <c r="J2736" s="35"/>
      <c r="K2736" s="35"/>
      <c r="L2736" s="35"/>
      <c r="M2736" s="38">
        <f>0.1*6043.6/74.79</f>
        <v>8.0807594598208308</v>
      </c>
      <c r="N2736" s="1"/>
    </row>
    <row r="2737" spans="2:16" x14ac:dyDescent="0.2">
      <c r="C2737" s="9" t="s">
        <v>991</v>
      </c>
      <c r="E2737" s="35"/>
      <c r="F2737" s="35"/>
      <c r="G2737" s="35"/>
      <c r="H2737" s="35"/>
      <c r="I2737" s="35"/>
      <c r="J2737" s="35"/>
      <c r="K2737" s="35"/>
      <c r="L2737" s="35"/>
      <c r="M2737" s="38">
        <f>0.1*4839.05/57.56</f>
        <v>8.4069666435024324</v>
      </c>
      <c r="N2737" s="1"/>
    </row>
    <row r="2738" spans="2:16" x14ac:dyDescent="0.2">
      <c r="C2738" s="9" t="s">
        <v>1198</v>
      </c>
      <c r="E2738" s="35"/>
      <c r="F2738" s="35"/>
      <c r="G2738" s="35"/>
      <c r="H2738" s="35"/>
      <c r="I2738" s="35"/>
      <c r="J2738" s="35"/>
      <c r="K2738" s="35"/>
      <c r="L2738" s="35"/>
      <c r="M2738" s="38">
        <f>0.1*5811.03/60</f>
        <v>9.6850499999999986</v>
      </c>
      <c r="N2738" s="1"/>
    </row>
    <row r="2739" spans="2:16" x14ac:dyDescent="0.2">
      <c r="C2739" s="9"/>
      <c r="E2739" s="35"/>
      <c r="F2739" s="35"/>
      <c r="G2739" s="35"/>
      <c r="H2739" s="35"/>
      <c r="I2739" s="35"/>
      <c r="J2739" s="35"/>
      <c r="K2739" s="35"/>
      <c r="L2739" s="35"/>
      <c r="M2739" s="34"/>
      <c r="N2739" s="1"/>
    </row>
    <row r="2740" spans="2:16" ht="15" x14ac:dyDescent="0.25">
      <c r="B2740" s="2" t="s">
        <v>904</v>
      </c>
      <c r="C2740" s="9"/>
      <c r="E2740" s="35"/>
      <c r="F2740" s="35"/>
      <c r="G2740" s="35"/>
      <c r="H2740" s="35"/>
      <c r="I2740" s="35"/>
      <c r="J2740" s="35"/>
      <c r="K2740" s="35"/>
      <c r="L2740" s="35"/>
      <c r="M2740" s="34"/>
      <c r="N2740" s="1"/>
    </row>
    <row r="2741" spans="2:16" ht="15" x14ac:dyDescent="0.25">
      <c r="B2741" s="2"/>
      <c r="C2741" s="13" t="s">
        <v>259</v>
      </c>
      <c r="E2741" s="35"/>
      <c r="F2741" s="35"/>
      <c r="G2741" s="35"/>
      <c r="H2741" s="35"/>
      <c r="I2741" s="35"/>
      <c r="J2741" s="35"/>
      <c r="K2741" s="35"/>
      <c r="L2741" s="35"/>
      <c r="M2741" s="34"/>
      <c r="N2741" s="1"/>
    </row>
    <row r="2742" spans="2:16" ht="15" x14ac:dyDescent="0.25">
      <c r="B2742" s="2"/>
      <c r="C2742" s="9" t="s">
        <v>699</v>
      </c>
      <c r="E2742" s="35" t="s">
        <v>3</v>
      </c>
      <c r="F2742" s="35" t="s">
        <v>3</v>
      </c>
      <c r="G2742" s="35" t="s">
        <v>3</v>
      </c>
      <c r="H2742" s="35" t="s">
        <v>3</v>
      </c>
      <c r="I2742" s="35" t="s">
        <v>3</v>
      </c>
      <c r="J2742" s="35" t="s">
        <v>3</v>
      </c>
      <c r="K2742" s="35" t="s">
        <v>3</v>
      </c>
      <c r="L2742" s="35" t="s">
        <v>3</v>
      </c>
      <c r="M2742" s="34">
        <v>15.4</v>
      </c>
      <c r="N2742" s="1"/>
    </row>
    <row r="2743" spans="2:16" ht="15" x14ac:dyDescent="0.25">
      <c r="B2743" s="2"/>
      <c r="C2743" s="9" t="s">
        <v>702</v>
      </c>
      <c r="E2743" s="35" t="s">
        <v>3</v>
      </c>
      <c r="F2743" s="35" t="s">
        <v>3</v>
      </c>
      <c r="G2743" s="35" t="s">
        <v>3</v>
      </c>
      <c r="H2743" s="35" t="s">
        <v>3</v>
      </c>
      <c r="I2743" s="35" t="s">
        <v>3</v>
      </c>
      <c r="J2743" s="35" t="s">
        <v>3</v>
      </c>
      <c r="K2743" s="35" t="s">
        <v>3</v>
      </c>
      <c r="L2743" s="35" t="s">
        <v>3</v>
      </c>
      <c r="M2743" s="34">
        <v>15.957000000000001</v>
      </c>
      <c r="N2743" s="1"/>
    </row>
    <row r="2744" spans="2:16" ht="15" x14ac:dyDescent="0.25">
      <c r="B2744" s="2"/>
      <c r="C2744" s="9" t="s">
        <v>1199</v>
      </c>
      <c r="E2744" s="35" t="s">
        <v>3</v>
      </c>
      <c r="F2744" s="35" t="s">
        <v>3</v>
      </c>
      <c r="G2744" s="35" t="s">
        <v>3</v>
      </c>
      <c r="H2744" s="35" t="s">
        <v>3</v>
      </c>
      <c r="I2744" s="35" t="s">
        <v>3</v>
      </c>
      <c r="J2744" s="35" t="s">
        <v>3</v>
      </c>
      <c r="K2744" s="35" t="s">
        <v>3</v>
      </c>
      <c r="L2744" s="35" t="s">
        <v>3</v>
      </c>
      <c r="M2744" s="34">
        <v>17.164000000000001</v>
      </c>
      <c r="N2744" s="1"/>
    </row>
    <row r="2745" spans="2:16" x14ac:dyDescent="0.2">
      <c r="C2745" s="9"/>
      <c r="E2745" s="35"/>
      <c r="F2745" s="35"/>
      <c r="G2745" s="35"/>
      <c r="H2745" s="35"/>
      <c r="I2745" s="35"/>
      <c r="J2745" s="35"/>
      <c r="K2745" s="35"/>
      <c r="L2745" s="35"/>
      <c r="M2745" s="37"/>
      <c r="N2745" s="1"/>
    </row>
    <row r="2746" spans="2:16" ht="15" x14ac:dyDescent="0.25">
      <c r="B2746" s="2" t="s">
        <v>912</v>
      </c>
      <c r="C2746" s="9"/>
      <c r="E2746" s="35"/>
      <c r="F2746" s="35"/>
      <c r="G2746" s="35"/>
      <c r="H2746" s="35"/>
      <c r="I2746" s="35"/>
      <c r="J2746" s="35"/>
      <c r="K2746" s="35"/>
      <c r="L2746" s="35"/>
      <c r="M2746" s="37"/>
      <c r="N2746" s="1"/>
    </row>
    <row r="2747" spans="2:16" x14ac:dyDescent="0.2">
      <c r="C2747" s="13" t="s">
        <v>901</v>
      </c>
      <c r="E2747" s="35"/>
      <c r="F2747" s="35"/>
      <c r="G2747" s="35"/>
      <c r="H2747" s="35"/>
      <c r="I2747" s="35"/>
      <c r="J2747" s="35"/>
      <c r="K2747" s="35"/>
      <c r="L2747" s="35"/>
      <c r="M2747" s="37"/>
      <c r="N2747" s="1"/>
    </row>
    <row r="2748" spans="2:16" x14ac:dyDescent="0.2">
      <c r="C2748" s="9" t="s">
        <v>902</v>
      </c>
      <c r="E2748" s="35" t="s">
        <v>3</v>
      </c>
      <c r="F2748" s="35" t="s">
        <v>3</v>
      </c>
      <c r="G2748" s="35" t="s">
        <v>3</v>
      </c>
      <c r="H2748" s="35" t="s">
        <v>3</v>
      </c>
      <c r="I2748" s="35" t="s">
        <v>3</v>
      </c>
      <c r="J2748" s="35" t="s">
        <v>3</v>
      </c>
      <c r="K2748" s="35" t="s">
        <v>3</v>
      </c>
      <c r="L2748" s="35" t="s">
        <v>3</v>
      </c>
      <c r="M2748" s="38">
        <v>5</v>
      </c>
      <c r="N2748" s="1"/>
    </row>
    <row r="2749" spans="2:16" x14ac:dyDescent="0.2">
      <c r="C2749" s="9"/>
      <c r="E2749" s="35"/>
      <c r="F2749" s="35"/>
      <c r="G2749" s="35"/>
      <c r="H2749" s="35"/>
      <c r="I2749" s="35"/>
      <c r="J2749" s="35"/>
      <c r="K2749" s="35"/>
      <c r="L2749" s="35"/>
      <c r="M2749" s="38"/>
      <c r="N2749" s="1"/>
    </row>
    <row r="2750" spans="2:16" x14ac:dyDescent="0.2">
      <c r="G2750" s="25"/>
      <c r="H2750" s="25"/>
      <c r="I2750" s="25"/>
      <c r="J2750" s="25"/>
      <c r="K2750" s="25"/>
      <c r="L2750" s="25"/>
      <c r="M2750" s="25"/>
      <c r="N2750" s="25"/>
      <c r="O2750" s="25"/>
      <c r="P2750" s="25"/>
    </row>
    <row r="2753" spans="1:24" ht="27" x14ac:dyDescent="0.35">
      <c r="A2753" s="3" t="s">
        <v>1383</v>
      </c>
      <c r="O2753" s="3"/>
    </row>
    <row r="2754" spans="1:24" ht="15" x14ac:dyDescent="0.25">
      <c r="B2754" s="2"/>
      <c r="E2754" s="2"/>
      <c r="F2754" s="2"/>
      <c r="G2754" s="2"/>
      <c r="H2754" s="2"/>
      <c r="I2754" s="2"/>
      <c r="J2754" s="2"/>
      <c r="K2754" s="2"/>
      <c r="L2754" s="2"/>
      <c r="M2754" s="2"/>
    </row>
    <row r="2755" spans="1:24" ht="15" x14ac:dyDescent="0.25">
      <c r="B2755" s="2" t="s">
        <v>1136</v>
      </c>
      <c r="E2755" s="2"/>
      <c r="F2755" s="2"/>
      <c r="G2755" s="2"/>
      <c r="H2755" s="2"/>
      <c r="I2755" s="2"/>
      <c r="J2755" s="2"/>
      <c r="K2755" s="2"/>
      <c r="L2755" s="2"/>
      <c r="M2755" s="2"/>
      <c r="O2755" s="2"/>
    </row>
    <row r="2756" spans="1:24" ht="15" x14ac:dyDescent="0.25">
      <c r="C2756" s="13" t="s">
        <v>125</v>
      </c>
      <c r="E2756" s="2">
        <v>2010</v>
      </c>
      <c r="F2756" s="2">
        <v>2015</v>
      </c>
      <c r="G2756" s="2">
        <v>2020</v>
      </c>
      <c r="H2756" s="2">
        <v>2025</v>
      </c>
      <c r="I2756" s="2">
        <v>2030</v>
      </c>
      <c r="J2756" s="2">
        <v>2035</v>
      </c>
      <c r="K2756" s="2">
        <v>2040</v>
      </c>
      <c r="L2756" s="2">
        <v>2045</v>
      </c>
      <c r="M2756" s="2">
        <v>2050</v>
      </c>
      <c r="P2756" s="2"/>
      <c r="Q2756" s="2"/>
      <c r="R2756" s="2"/>
      <c r="S2756" s="2"/>
      <c r="T2756" s="2"/>
      <c r="U2756" s="2"/>
      <c r="V2756" s="2"/>
      <c r="W2756" s="2"/>
      <c r="X2756" s="2"/>
    </row>
    <row r="2757" spans="1:24" x14ac:dyDescent="0.2">
      <c r="C2757" t="s">
        <v>1138</v>
      </c>
      <c r="E2757">
        <v>5.9</v>
      </c>
      <c r="M2757">
        <v>5.9</v>
      </c>
    </row>
    <row r="2758" spans="1:24" x14ac:dyDescent="0.2">
      <c r="C2758" t="s">
        <v>1137</v>
      </c>
      <c r="I2758">
        <v>4.87</v>
      </c>
    </row>
    <row r="2759" spans="1:24" x14ac:dyDescent="0.2">
      <c r="C2759" t="s">
        <v>1235</v>
      </c>
      <c r="E2759">
        <v>11.4</v>
      </c>
      <c r="M2759">
        <v>15.4</v>
      </c>
    </row>
    <row r="2760" spans="1:24" x14ac:dyDescent="0.2">
      <c r="C2760" t="s">
        <v>1092</v>
      </c>
      <c r="E2760" t="s">
        <v>1094</v>
      </c>
    </row>
    <row r="2761" spans="1:24" x14ac:dyDescent="0.2">
      <c r="C2761" t="s">
        <v>936</v>
      </c>
      <c r="E2761">
        <v>9.8800000000000008</v>
      </c>
    </row>
    <row r="2762" spans="1:24" x14ac:dyDescent="0.2">
      <c r="C2762" t="s">
        <v>7</v>
      </c>
      <c r="E2762">
        <v>29.5</v>
      </c>
      <c r="I2762">
        <v>13.3</v>
      </c>
      <c r="M2762">
        <v>10.029999999999999</v>
      </c>
    </row>
    <row r="2763" spans="1:24" x14ac:dyDescent="0.2">
      <c r="C2763" t="s">
        <v>8</v>
      </c>
      <c r="E2763">
        <v>19.5</v>
      </c>
      <c r="I2763">
        <v>14.45</v>
      </c>
      <c r="M2763">
        <v>14.45</v>
      </c>
    </row>
    <row r="2764" spans="1:24" x14ac:dyDescent="0.2">
      <c r="C2764" t="s">
        <v>1034</v>
      </c>
      <c r="G2764">
        <v>16.29</v>
      </c>
      <c r="M2764">
        <v>16.48</v>
      </c>
    </row>
    <row r="2765" spans="1:24" x14ac:dyDescent="0.2">
      <c r="C2765" t="s">
        <v>984</v>
      </c>
      <c r="E2765">
        <v>9.59</v>
      </c>
      <c r="I2765">
        <v>9.59</v>
      </c>
      <c r="M2765">
        <v>8.92</v>
      </c>
    </row>
    <row r="2766" spans="1:24" x14ac:dyDescent="0.2">
      <c r="C2766" t="s">
        <v>1093</v>
      </c>
      <c r="M2766">
        <v>16.100000000000001</v>
      </c>
    </row>
    <row r="2768" spans="1:24" ht="15" x14ac:dyDescent="0.25">
      <c r="B2768" s="2" t="s">
        <v>1130</v>
      </c>
    </row>
    <row r="2769" spans="3:13" ht="15" x14ac:dyDescent="0.25">
      <c r="C2769" s="13" t="s">
        <v>125</v>
      </c>
      <c r="E2769" s="2">
        <v>2010</v>
      </c>
      <c r="F2769" s="2">
        <v>2015</v>
      </c>
      <c r="G2769" s="2">
        <v>2020</v>
      </c>
      <c r="H2769" s="2">
        <v>2025</v>
      </c>
      <c r="I2769" s="2">
        <v>2030</v>
      </c>
      <c r="J2769" s="2">
        <v>2035</v>
      </c>
      <c r="K2769" s="2">
        <v>2040</v>
      </c>
      <c r="L2769" s="2">
        <v>2045</v>
      </c>
      <c r="M2769" s="2">
        <v>2050</v>
      </c>
    </row>
    <row r="2770" spans="3:13" x14ac:dyDescent="0.2">
      <c r="C2770" t="s">
        <v>1129</v>
      </c>
      <c r="D2770" t="s">
        <v>1127</v>
      </c>
      <c r="E2770" s="4">
        <v>6.2252114385464381</v>
      </c>
      <c r="F2770" s="4">
        <v>6.2957153988353607</v>
      </c>
      <c r="G2770" s="4">
        <v>7.0016069138246699</v>
      </c>
      <c r="H2770" s="4">
        <v>8.0229060934985927</v>
      </c>
      <c r="I2770" s="107">
        <f>1/2*(H2770+J2770)</f>
        <v>9.2108095725049708</v>
      </c>
      <c r="J2770" s="4">
        <v>10.398713051511349</v>
      </c>
      <c r="K2770" s="107">
        <f>2/3*J2770+1/3*M2770</f>
        <v>10.871754654166674</v>
      </c>
      <c r="L2770" s="107">
        <f>1/3*J2770+2/3*M2770</f>
        <v>11.344796256822001</v>
      </c>
      <c r="M2770" s="4">
        <v>11.817837859477326</v>
      </c>
    </row>
    <row r="2771" spans="3:13" x14ac:dyDescent="0.2">
      <c r="C2771" t="s">
        <v>1125</v>
      </c>
      <c r="D2771" t="s">
        <v>1127</v>
      </c>
      <c r="E2771" s="4">
        <v>6.2252114385464434</v>
      </c>
      <c r="F2771" s="4">
        <v>6.2664006093209688</v>
      </c>
      <c r="G2771" s="4">
        <v>6.1672981504978619</v>
      </c>
      <c r="H2771" s="4">
        <v>6.7276218495689966</v>
      </c>
      <c r="I2771" s="107">
        <f t="shared" ref="I2771:I2787" si="928">1/2*(H2771+J2771)</f>
        <v>7.9970408654702378</v>
      </c>
      <c r="J2771" s="4">
        <v>9.26645988137148</v>
      </c>
      <c r="K2771" s="107">
        <f t="shared" ref="K2771:K2787" si="929">2/3*J2771+1/3*M2771</f>
        <v>9.7415542079430661</v>
      </c>
      <c r="L2771" s="107">
        <f t="shared" ref="L2771:L2787" si="930">1/3*J2771+2/3*M2771</f>
        <v>10.216648534514654</v>
      </c>
      <c r="M2771" s="4">
        <v>10.69174286108624</v>
      </c>
    </row>
    <row r="2772" spans="3:13" x14ac:dyDescent="0.2">
      <c r="C2772" t="s">
        <v>1128</v>
      </c>
      <c r="D2772" t="s">
        <v>1127</v>
      </c>
      <c r="E2772" s="4">
        <v>6.2252114385464434</v>
      </c>
      <c r="F2772" s="4">
        <v>6.2804159724230963</v>
      </c>
      <c r="G2772" s="4">
        <v>6.8810443119983988</v>
      </c>
      <c r="H2772" s="4">
        <v>7.8339208224935302</v>
      </c>
      <c r="I2772" s="107">
        <f t="shared" si="928"/>
        <v>7.6969523246161735</v>
      </c>
      <c r="J2772" s="4">
        <v>7.5599838267388177</v>
      </c>
      <c r="K2772" s="107">
        <f t="shared" si="929"/>
        <v>7.7986533594764236</v>
      </c>
      <c r="L2772" s="107">
        <f t="shared" si="930"/>
        <v>8.0373228922140303</v>
      </c>
      <c r="M2772" s="4">
        <v>8.275992424951637</v>
      </c>
    </row>
    <row r="2773" spans="3:13" x14ac:dyDescent="0.2">
      <c r="C2773" t="s">
        <v>1131</v>
      </c>
      <c r="D2773" t="s">
        <v>1127</v>
      </c>
      <c r="E2773" s="4">
        <v>6.225211438546439</v>
      </c>
      <c r="F2773" s="4">
        <v>6.2807114121479151</v>
      </c>
      <c r="G2773" s="4">
        <v>6.5245917036394809</v>
      </c>
      <c r="H2773" s="4">
        <v>7.2694810066428763</v>
      </c>
      <c r="I2773" s="107">
        <f t="shared" si="928"/>
        <v>8.5744845124992626</v>
      </c>
      <c r="J2773" s="4">
        <v>9.8794880183556479</v>
      </c>
      <c r="K2773" s="107">
        <f t="shared" si="929"/>
        <v>9.9664424968886465</v>
      </c>
      <c r="L2773" s="107">
        <f t="shared" si="930"/>
        <v>10.053396975421647</v>
      </c>
      <c r="M2773" s="4">
        <v>10.140351453954647</v>
      </c>
    </row>
    <row r="2774" spans="3:13" x14ac:dyDescent="0.2">
      <c r="C2774" t="s">
        <v>1132</v>
      </c>
      <c r="D2774" t="s">
        <v>1127</v>
      </c>
      <c r="E2774" s="4">
        <v>6.2252114385464381</v>
      </c>
      <c r="F2774" s="4">
        <v>6.381804539424933</v>
      </c>
      <c r="G2774" s="4">
        <v>6.4261806798733039</v>
      </c>
      <c r="H2774" s="4">
        <v>6.1828482694652314</v>
      </c>
      <c r="I2774" s="107">
        <f t="shared" si="928"/>
        <v>7.200170802354334</v>
      </c>
      <c r="J2774" s="4">
        <v>8.2174933352434358</v>
      </c>
      <c r="K2774" s="107">
        <f t="shared" si="929"/>
        <v>8.7884484360061919</v>
      </c>
      <c r="L2774" s="107">
        <f t="shared" si="930"/>
        <v>9.3594035367689496</v>
      </c>
      <c r="M2774" s="4">
        <v>9.9303586375317074</v>
      </c>
    </row>
    <row r="2775" spans="3:13" x14ac:dyDescent="0.2">
      <c r="C2775" t="s">
        <v>1133</v>
      </c>
      <c r="D2775" t="s">
        <v>1127</v>
      </c>
      <c r="E2775" s="4">
        <v>6.2252114385464408</v>
      </c>
      <c r="F2775" s="4">
        <v>6.2807114121478271</v>
      </c>
      <c r="G2775" s="4">
        <v>6.5245917036394774</v>
      </c>
      <c r="H2775" s="4">
        <v>7.241641471356961</v>
      </c>
      <c r="I2775" s="107">
        <f t="shared" si="928"/>
        <v>7.2464445615263529</v>
      </c>
      <c r="J2775" s="4">
        <v>7.2512476516957447</v>
      </c>
      <c r="K2775" s="107">
        <f t="shared" si="929"/>
        <v>7.2529590671478337</v>
      </c>
      <c r="L2775" s="107">
        <f t="shared" si="930"/>
        <v>7.2546704825999226</v>
      </c>
      <c r="M2775" s="4">
        <v>7.2563818980520116</v>
      </c>
    </row>
    <row r="2776" spans="3:13" x14ac:dyDescent="0.2">
      <c r="C2776" t="s">
        <v>1105</v>
      </c>
      <c r="D2776" t="s">
        <v>1127</v>
      </c>
      <c r="E2776" s="4">
        <v>6.225211438546439</v>
      </c>
      <c r="F2776" s="4">
        <v>6.2738798044433413</v>
      </c>
      <c r="G2776" s="4">
        <v>6.602703057744379</v>
      </c>
      <c r="H2776" s="4">
        <v>7.4697653803428565</v>
      </c>
      <c r="I2776" s="107">
        <f t="shared" si="928"/>
        <v>8.6740486619401</v>
      </c>
      <c r="J2776" s="4">
        <v>9.8783319435373436</v>
      </c>
      <c r="K2776" s="107">
        <f t="shared" si="929"/>
        <v>10.317780612982927</v>
      </c>
      <c r="L2776" s="107">
        <f t="shared" si="930"/>
        <v>10.757229282428511</v>
      </c>
      <c r="M2776" s="4">
        <v>11.196677951874097</v>
      </c>
    </row>
    <row r="2777" spans="3:13" x14ac:dyDescent="0.2">
      <c r="C2777" t="s">
        <v>1134</v>
      </c>
      <c r="D2777" t="s">
        <v>1127</v>
      </c>
      <c r="E2777" s="4">
        <v>6.2252114385464408</v>
      </c>
      <c r="F2777" s="4">
        <v>6.3740690230160251</v>
      </c>
      <c r="G2777" s="4">
        <v>6.4087181853839699</v>
      </c>
      <c r="H2777" s="4">
        <v>6.12278999802448</v>
      </c>
      <c r="I2777" s="107">
        <f t="shared" si="928"/>
        <v>7.2361076988236377</v>
      </c>
      <c r="J2777" s="4">
        <v>8.3494253996227954</v>
      </c>
      <c r="K2777" s="107">
        <f t="shared" si="929"/>
        <v>8.8395678152697741</v>
      </c>
      <c r="L2777" s="107">
        <f t="shared" si="930"/>
        <v>9.3297102309167546</v>
      </c>
      <c r="M2777" s="4">
        <v>9.819852646563735</v>
      </c>
    </row>
    <row r="2778" spans="3:13" x14ac:dyDescent="0.2">
      <c r="C2778" t="s">
        <v>1135</v>
      </c>
      <c r="D2778" t="s">
        <v>1127</v>
      </c>
      <c r="E2778" s="4">
        <v>6.2252114385464425</v>
      </c>
      <c r="F2778" s="4">
        <v>6.3022631535594043</v>
      </c>
      <c r="G2778" s="4">
        <v>6.6192589973406939</v>
      </c>
      <c r="H2778" s="4">
        <v>7.5000094758627958</v>
      </c>
      <c r="I2778" s="107">
        <f t="shared" si="928"/>
        <v>7.3863059796160631</v>
      </c>
      <c r="J2778" s="4">
        <v>7.2726024833693304</v>
      </c>
      <c r="K2778" s="107">
        <f t="shared" si="929"/>
        <v>7.2712126195427027</v>
      </c>
      <c r="L2778" s="107">
        <f t="shared" si="930"/>
        <v>7.2698227557160759</v>
      </c>
      <c r="M2778" s="4">
        <v>7.2684328918894492</v>
      </c>
    </row>
    <row r="2779" spans="3:13" x14ac:dyDescent="0.2">
      <c r="C2779" t="s">
        <v>1125</v>
      </c>
      <c r="D2779" t="s">
        <v>1126</v>
      </c>
      <c r="E2779" s="4">
        <v>5.6645725635388278</v>
      </c>
      <c r="F2779" s="4">
        <v>5.5190906351812803</v>
      </c>
      <c r="G2779" s="4">
        <v>5.7386575944062344</v>
      </c>
      <c r="H2779" s="4">
        <v>6.7276218495689966</v>
      </c>
      <c r="I2779" s="107">
        <f t="shared" si="928"/>
        <v>7.9970408654702378</v>
      </c>
      <c r="J2779" s="4">
        <v>9.26645988137148</v>
      </c>
      <c r="K2779" s="107">
        <f t="shared" si="929"/>
        <v>9.7415542079430661</v>
      </c>
      <c r="L2779" s="107">
        <f t="shared" si="930"/>
        <v>10.216648534514654</v>
      </c>
      <c r="M2779" s="4">
        <v>10.69174286108624</v>
      </c>
    </row>
    <row r="2780" spans="3:13" x14ac:dyDescent="0.2">
      <c r="C2780" t="s">
        <v>1129</v>
      </c>
      <c r="D2780" t="s">
        <v>1126</v>
      </c>
      <c r="E2780" s="4">
        <v>5.6645725635388278</v>
      </c>
      <c r="F2780" s="4">
        <v>5.5002429044190748</v>
      </c>
      <c r="G2780" s="4">
        <v>5.8626370228613043</v>
      </c>
      <c r="H2780" s="4">
        <v>6.5724815883133472</v>
      </c>
      <c r="I2780" s="107">
        <f t="shared" si="928"/>
        <v>7.509251053821421</v>
      </c>
      <c r="J2780" s="4">
        <v>8.4460205193294939</v>
      </c>
      <c r="K2780" s="107">
        <f t="shared" si="929"/>
        <v>9.0011626400795848</v>
      </c>
      <c r="L2780" s="107">
        <f t="shared" si="930"/>
        <v>9.5563047608296756</v>
      </c>
      <c r="M2780" s="4">
        <v>10.111446881579768</v>
      </c>
    </row>
    <row r="2781" spans="3:13" x14ac:dyDescent="0.2">
      <c r="C2781" t="s">
        <v>1128</v>
      </c>
      <c r="D2781" t="s">
        <v>1126</v>
      </c>
      <c r="E2781" s="4">
        <v>5.6645725635388349</v>
      </c>
      <c r="F2781" s="4">
        <v>5.5138390078769079</v>
      </c>
      <c r="G2781" s="4">
        <v>5.8331542091945554</v>
      </c>
      <c r="H2781" s="4">
        <v>6.6470452416252455</v>
      </c>
      <c r="I2781" s="107">
        <f t="shared" si="928"/>
        <v>6.0977244031061266</v>
      </c>
      <c r="J2781" s="4">
        <v>5.5484035645870078</v>
      </c>
      <c r="K2781" s="107">
        <f t="shared" si="929"/>
        <v>5.855708945139992</v>
      </c>
      <c r="L2781" s="107">
        <f t="shared" si="930"/>
        <v>6.163014325692977</v>
      </c>
      <c r="M2781" s="4">
        <v>6.4703197062459612</v>
      </c>
    </row>
    <row r="2782" spans="3:13" x14ac:dyDescent="0.2">
      <c r="C2782" t="s">
        <v>1131</v>
      </c>
      <c r="D2782" t="s">
        <v>1126</v>
      </c>
      <c r="E2782" s="4">
        <v>5.6645725635388171</v>
      </c>
      <c r="F2782" s="4">
        <v>5.4072577916601228</v>
      </c>
      <c r="G2782" s="4">
        <v>5.3364384515313699</v>
      </c>
      <c r="H2782" s="4">
        <v>5.7617413220438012</v>
      </c>
      <c r="I2782" s="107">
        <f t="shared" si="928"/>
        <v>6.8588163413417149</v>
      </c>
      <c r="J2782" s="4">
        <v>7.9558913606396295</v>
      </c>
      <c r="K2782" s="107">
        <f t="shared" si="929"/>
        <v>7.9751793160955291</v>
      </c>
      <c r="L2782" s="107">
        <f t="shared" si="930"/>
        <v>7.9944672715514304</v>
      </c>
      <c r="M2782" s="4">
        <v>8.0137552270073318</v>
      </c>
    </row>
    <row r="2783" spans="3:13" x14ac:dyDescent="0.2">
      <c r="C2783" t="s">
        <v>1132</v>
      </c>
      <c r="D2783" t="s">
        <v>1126</v>
      </c>
      <c r="E2783" s="4">
        <v>5.6645725635388233</v>
      </c>
      <c r="F2783" s="4">
        <v>5.3783847080731038</v>
      </c>
      <c r="G2783" s="4">
        <v>5.3403499651129671</v>
      </c>
      <c r="H2783" s="4">
        <v>5.7849829496320142</v>
      </c>
      <c r="I2783" s="107">
        <f t="shared" si="928"/>
        <v>7.0012381424377246</v>
      </c>
      <c r="J2783" s="4">
        <v>8.2174933352434358</v>
      </c>
      <c r="K2783" s="107">
        <f t="shared" si="929"/>
        <v>8.1597608092443306</v>
      </c>
      <c r="L2783" s="107">
        <f t="shared" si="930"/>
        <v>8.1020282832452253</v>
      </c>
      <c r="M2783" s="4">
        <v>8.0442957572461218</v>
      </c>
    </row>
    <row r="2784" spans="3:13" x14ac:dyDescent="0.2">
      <c r="C2784" t="s">
        <v>1133</v>
      </c>
      <c r="D2784" t="s">
        <v>1126</v>
      </c>
      <c r="E2784" s="4">
        <v>5.6645725635388171</v>
      </c>
      <c r="F2784" s="4">
        <v>5.4072577916600926</v>
      </c>
      <c r="G2784" s="4">
        <v>5.3364384515313636</v>
      </c>
      <c r="H2784" s="4">
        <v>5.8052668857444649</v>
      </c>
      <c r="I2784" s="107">
        <f t="shared" si="928"/>
        <v>5.3062959292733662</v>
      </c>
      <c r="J2784" s="4">
        <v>4.8073249728022684</v>
      </c>
      <c r="K2784" s="107">
        <f t="shared" si="929"/>
        <v>4.7508007125066509</v>
      </c>
      <c r="L2784" s="107">
        <f t="shared" si="930"/>
        <v>4.6942764522110325</v>
      </c>
      <c r="M2784" s="4">
        <v>4.637752191915415</v>
      </c>
    </row>
    <row r="2785" spans="2:14" x14ac:dyDescent="0.2">
      <c r="C2785" t="s">
        <v>1105</v>
      </c>
      <c r="D2785" t="s">
        <v>1126</v>
      </c>
      <c r="E2785" s="4">
        <v>5.6645725635388233</v>
      </c>
      <c r="F2785" s="4">
        <v>5.3784957399417426</v>
      </c>
      <c r="G2785" s="4">
        <v>5.3648989255038986</v>
      </c>
      <c r="H2785" s="4">
        <v>5.8751150620215595</v>
      </c>
      <c r="I2785" s="107">
        <f t="shared" si="928"/>
        <v>6.8050997185900419</v>
      </c>
      <c r="J2785" s="4">
        <v>7.7350843751585243</v>
      </c>
      <c r="K2785" s="107">
        <f t="shared" si="929"/>
        <v>8.2108996143340729</v>
      </c>
      <c r="L2785" s="107">
        <f t="shared" si="930"/>
        <v>8.6867148535096241</v>
      </c>
      <c r="M2785" s="4">
        <v>9.1625300926851736</v>
      </c>
    </row>
    <row r="2786" spans="2:14" x14ac:dyDescent="0.2">
      <c r="C2786" t="s">
        <v>1134</v>
      </c>
      <c r="D2786" t="s">
        <v>1126</v>
      </c>
      <c r="E2786" s="4">
        <v>5.6645725635388322</v>
      </c>
      <c r="F2786" s="4">
        <v>5.382102490746294</v>
      </c>
      <c r="G2786" s="4">
        <v>5.3551208486339306</v>
      </c>
      <c r="H2786" s="4">
        <v>5.8968432398826476</v>
      </c>
      <c r="I2786" s="107">
        <f t="shared" si="928"/>
        <v>7.1231343197527215</v>
      </c>
      <c r="J2786" s="4">
        <v>8.3494253996227954</v>
      </c>
      <c r="K2786" s="107">
        <f t="shared" si="929"/>
        <v>8.7755378311890944</v>
      </c>
      <c r="L2786" s="107">
        <f t="shared" si="930"/>
        <v>9.2016502627553916</v>
      </c>
      <c r="M2786" s="4">
        <v>9.6277626943216905</v>
      </c>
    </row>
    <row r="2787" spans="2:14" x14ac:dyDescent="0.2">
      <c r="C2787" t="s">
        <v>1135</v>
      </c>
      <c r="D2787" t="s">
        <v>1126</v>
      </c>
      <c r="E2787" s="4">
        <v>5.6645725635388189</v>
      </c>
      <c r="F2787" s="4">
        <v>5.3850035671014247</v>
      </c>
      <c r="G2787" s="4">
        <v>5.3616949256477611</v>
      </c>
      <c r="H2787" s="4">
        <v>5.8738164333687592</v>
      </c>
      <c r="I2787" s="107">
        <f t="shared" si="928"/>
        <v>5.3888439076056933</v>
      </c>
      <c r="J2787" s="4">
        <v>4.9038713818426283</v>
      </c>
      <c r="K2787" s="107">
        <f t="shared" si="929"/>
        <v>4.9694199009584041</v>
      </c>
      <c r="L2787" s="107">
        <f t="shared" si="930"/>
        <v>5.0349684200741809</v>
      </c>
      <c r="M2787" s="4">
        <v>5.1005169391899567</v>
      </c>
    </row>
    <row r="2790" spans="2:14" ht="15" x14ac:dyDescent="0.25">
      <c r="B2790" s="2" t="s">
        <v>1095</v>
      </c>
      <c r="C2790" s="9"/>
      <c r="E2790" s="35"/>
      <c r="F2790" s="35"/>
      <c r="G2790" s="35"/>
      <c r="H2790" s="35"/>
      <c r="I2790" s="35"/>
      <c r="J2790" s="35"/>
      <c r="K2790" s="35"/>
      <c r="L2790" s="35"/>
      <c r="M2790" s="37"/>
    </row>
    <row r="2791" spans="2:14" x14ac:dyDescent="0.2">
      <c r="C2791" s="13" t="s">
        <v>901</v>
      </c>
      <c r="E2791" s="35"/>
      <c r="F2791" s="35"/>
      <c r="G2791" s="35"/>
      <c r="H2791" s="35"/>
      <c r="I2791" s="35"/>
      <c r="J2791" s="35"/>
      <c r="K2791" s="35"/>
      <c r="L2791" s="35"/>
      <c r="M2791" s="37"/>
    </row>
    <row r="2792" spans="2:14" x14ac:dyDescent="0.2">
      <c r="C2792" s="9" t="s">
        <v>902</v>
      </c>
      <c r="E2792" s="35" t="s">
        <v>3</v>
      </c>
      <c r="F2792" s="35" t="s">
        <v>3</v>
      </c>
      <c r="G2792" s="35" t="s">
        <v>3</v>
      </c>
      <c r="H2792" s="35" t="s">
        <v>3</v>
      </c>
      <c r="I2792" s="35" t="s">
        <v>3</v>
      </c>
      <c r="J2792" s="35" t="s">
        <v>3</v>
      </c>
      <c r="K2792" s="35" t="s">
        <v>3</v>
      </c>
      <c r="L2792" s="35" t="s">
        <v>3</v>
      </c>
      <c r="M2792" s="38">
        <v>6.7</v>
      </c>
      <c r="N2792" s="35" t="s">
        <v>1252</v>
      </c>
    </row>
    <row r="2794" spans="2:14" ht="15" x14ac:dyDescent="0.25">
      <c r="B2794" s="2" t="s">
        <v>1096</v>
      </c>
    </row>
    <row r="2795" spans="2:14" x14ac:dyDescent="0.2">
      <c r="C2795" s="13" t="s">
        <v>1097</v>
      </c>
    </row>
    <row r="2796" spans="2:14" x14ac:dyDescent="0.2">
      <c r="C2796" t="s">
        <v>7</v>
      </c>
      <c r="J2796">
        <v>5.5</v>
      </c>
      <c r="M2796">
        <v>9.6999999999999993</v>
      </c>
    </row>
    <row r="2797" spans="2:14" x14ac:dyDescent="0.2">
      <c r="C2797" t="s">
        <v>8</v>
      </c>
      <c r="J2797">
        <v>1.2</v>
      </c>
      <c r="M2797">
        <v>2.6</v>
      </c>
    </row>
    <row r="2798" spans="2:14" x14ac:dyDescent="0.2">
      <c r="C2798" t="s">
        <v>1034</v>
      </c>
      <c r="J2798">
        <v>1.1000000000000001</v>
      </c>
      <c r="M2798">
        <v>4.4000000000000004</v>
      </c>
    </row>
    <row r="2799" spans="2:14" x14ac:dyDescent="0.2">
      <c r="C2799" t="s">
        <v>1098</v>
      </c>
      <c r="E2799">
        <v>2.2000000000000002</v>
      </c>
      <c r="J2799">
        <v>2.2000000000000002</v>
      </c>
      <c r="M2799">
        <v>2.2000000000000002</v>
      </c>
    </row>
    <row r="2800" spans="2:14" x14ac:dyDescent="0.2">
      <c r="C2800" t="s">
        <v>984</v>
      </c>
      <c r="E2800">
        <v>0.8</v>
      </c>
      <c r="J2800">
        <v>1.9</v>
      </c>
      <c r="M2800">
        <v>3.8</v>
      </c>
    </row>
    <row r="2801" spans="2:13" x14ac:dyDescent="0.2">
      <c r="C2801" t="s">
        <v>1099</v>
      </c>
      <c r="E2801">
        <v>35.5</v>
      </c>
      <c r="J2801">
        <v>35.9</v>
      </c>
      <c r="M2801">
        <v>35.9</v>
      </c>
    </row>
    <row r="2802" spans="2:13" x14ac:dyDescent="0.2">
      <c r="C2802" t="s">
        <v>1100</v>
      </c>
      <c r="J2802">
        <v>2.38</v>
      </c>
      <c r="M2802">
        <v>2.38</v>
      </c>
    </row>
    <row r="2803" spans="2:13" x14ac:dyDescent="0.2">
      <c r="C2803" t="s">
        <v>1101</v>
      </c>
      <c r="J2803">
        <v>38.299999999999997</v>
      </c>
      <c r="M2803">
        <v>38.299999999999997</v>
      </c>
    </row>
    <row r="2804" spans="2:13" x14ac:dyDescent="0.2">
      <c r="C2804" t="s">
        <v>1102</v>
      </c>
      <c r="J2804">
        <v>7.56</v>
      </c>
      <c r="M2804">
        <v>7.56</v>
      </c>
    </row>
    <row r="2807" spans="2:13" ht="15" x14ac:dyDescent="0.25">
      <c r="B2807" s="2" t="s">
        <v>1139</v>
      </c>
      <c r="C2807" s="13"/>
    </row>
    <row r="2808" spans="2:13" ht="15" x14ac:dyDescent="0.25">
      <c r="B2808" s="2"/>
      <c r="C2808" s="13" t="s">
        <v>1103</v>
      </c>
    </row>
    <row r="2809" spans="2:13" x14ac:dyDescent="0.2">
      <c r="C2809" s="9" t="s">
        <v>707</v>
      </c>
      <c r="E2809" s="6">
        <f>E1386*1.04</f>
        <v>15.600000000000001</v>
      </c>
      <c r="F2809" s="6"/>
      <c r="G2809" s="6">
        <f>G1386*1.04</f>
        <v>39.520000000000003</v>
      </c>
      <c r="H2809" s="6"/>
      <c r="I2809" s="6">
        <f t="shared" ref="I2809:K2810" si="931">I1386*1.04</f>
        <v>47.84</v>
      </c>
      <c r="J2809" s="6">
        <f t="shared" si="931"/>
        <v>52</v>
      </c>
      <c r="K2809" s="6">
        <f t="shared" si="931"/>
        <v>55.120000000000005</v>
      </c>
      <c r="L2809" s="6"/>
      <c r="M2809" s="6">
        <f>M1386*1.04</f>
        <v>58.24</v>
      </c>
    </row>
    <row r="2810" spans="2:13" x14ac:dyDescent="0.2">
      <c r="C2810" s="9" t="s">
        <v>678</v>
      </c>
      <c r="E2810" s="6">
        <f>E1387*1.04</f>
        <v>15.600000000000001</v>
      </c>
      <c r="F2810" s="6"/>
      <c r="G2810" s="6">
        <f>G1387*1.04</f>
        <v>46.800000000000004</v>
      </c>
      <c r="H2810" s="6"/>
      <c r="I2810" s="6">
        <f t="shared" si="931"/>
        <v>109.2</v>
      </c>
      <c r="J2810" s="6">
        <f t="shared" si="931"/>
        <v>124.80000000000001</v>
      </c>
      <c r="K2810" s="6">
        <f t="shared" si="931"/>
        <v>135.20000000000002</v>
      </c>
      <c r="L2810" s="6"/>
      <c r="M2810" s="6">
        <f>M1387*1.04</f>
        <v>142.48000000000002</v>
      </c>
    </row>
    <row r="2811" spans="2:13" x14ac:dyDescent="0.2">
      <c r="C2811" s="13" t="s">
        <v>1104</v>
      </c>
    </row>
    <row r="2812" spans="2:13" x14ac:dyDescent="0.2">
      <c r="C2812" s="9" t="s">
        <v>707</v>
      </c>
      <c r="E2812">
        <v>0.8</v>
      </c>
      <c r="I2812">
        <v>1.6</v>
      </c>
    </row>
    <row r="2813" spans="2:13" x14ac:dyDescent="0.2">
      <c r="C2813" s="9" t="s">
        <v>678</v>
      </c>
      <c r="E2813">
        <v>0.8</v>
      </c>
      <c r="I2813">
        <v>3.8</v>
      </c>
      <c r="M2813">
        <v>1.7</v>
      </c>
    </row>
    <row r="2814" spans="2:13" x14ac:dyDescent="0.2">
      <c r="M2814">
        <v>4.2</v>
      </c>
    </row>
    <row r="2816" spans="2:13" ht="15" x14ac:dyDescent="0.25">
      <c r="B2816" s="2" t="s">
        <v>1122</v>
      </c>
    </row>
    <row r="2817" spans="3:13" ht="15" x14ac:dyDescent="0.25">
      <c r="C2817" s="13" t="s">
        <v>1097</v>
      </c>
      <c r="E2817" s="2">
        <v>2010</v>
      </c>
      <c r="F2817" s="2">
        <v>2015</v>
      </c>
      <c r="G2817" s="2">
        <v>2020</v>
      </c>
      <c r="H2817" s="2">
        <v>2025</v>
      </c>
      <c r="I2817" s="2">
        <v>2030</v>
      </c>
      <c r="J2817" s="2">
        <v>2035</v>
      </c>
      <c r="K2817" s="2">
        <v>2040</v>
      </c>
      <c r="L2817" s="2">
        <v>2045</v>
      </c>
      <c r="M2817" s="2">
        <v>2050</v>
      </c>
    </row>
    <row r="2818" spans="3:13" x14ac:dyDescent="0.2">
      <c r="C2818" t="s">
        <v>1107</v>
      </c>
      <c r="E2818" s="136">
        <v>0</v>
      </c>
      <c r="F2818" s="134">
        <v>0.23979998072426303</v>
      </c>
      <c r="G2818" s="90">
        <v>3.373324594748528</v>
      </c>
      <c r="H2818" s="134">
        <v>7.92</v>
      </c>
      <c r="I2818" s="129">
        <f>1/2*(H2818+J2818)</f>
        <v>12.761506849315083</v>
      </c>
      <c r="J2818" s="90">
        <v>17.603013698630164</v>
      </c>
      <c r="K2818" s="129">
        <f>2/3*J2818+1/3*M2818</f>
        <v>19.662253095691135</v>
      </c>
      <c r="L2818" s="129">
        <f>1/3*J2818+2/3*M2818</f>
        <v>21.721492492752109</v>
      </c>
      <c r="M2818" s="90">
        <v>23.780731889813083</v>
      </c>
    </row>
    <row r="2819" spans="3:13" x14ac:dyDescent="0.2">
      <c r="C2819" t="s">
        <v>1108</v>
      </c>
      <c r="E2819" s="90">
        <v>0.90183000000000002</v>
      </c>
      <c r="F2819" s="134">
        <v>0.73177680934039446</v>
      </c>
      <c r="G2819" s="90">
        <v>0.54883260700529446</v>
      </c>
      <c r="H2819" s="134">
        <v>0.36588840467019723</v>
      </c>
      <c r="I2819" s="129">
        <f t="shared" ref="I2819:I2834" si="932">1/2*(H2819+J2819)</f>
        <v>0.18294420233509862</v>
      </c>
      <c r="J2819" s="90">
        <v>0</v>
      </c>
      <c r="K2819" s="129">
        <f t="shared" ref="K2819:K2834" si="933">2/3*J2819+1/3*M2819</f>
        <v>0</v>
      </c>
      <c r="L2819" s="129">
        <f t="shared" ref="L2819:L2834" si="934">1/3*J2819+2/3*M2819</f>
        <v>0</v>
      </c>
      <c r="M2819" s="136">
        <v>0</v>
      </c>
    </row>
    <row r="2820" spans="3:13" x14ac:dyDescent="0.2">
      <c r="C2820" t="s">
        <v>1109</v>
      </c>
      <c r="E2820" s="133">
        <v>2.1750868754721359E-3</v>
      </c>
      <c r="F2820" s="135">
        <v>0</v>
      </c>
      <c r="G2820" s="136">
        <v>0.19558</v>
      </c>
      <c r="H2820" s="132">
        <v>2.0039507043124667</v>
      </c>
      <c r="I2820" s="129">
        <f t="shared" si="932"/>
        <v>1.2464503521562333</v>
      </c>
      <c r="J2820" s="136">
        <v>0.48894999999999994</v>
      </c>
      <c r="K2820" s="129">
        <f t="shared" si="933"/>
        <v>0.38200560499026087</v>
      </c>
      <c r="L2820" s="129">
        <f t="shared" si="934"/>
        <v>0.2750612099805218</v>
      </c>
      <c r="M2820" s="136">
        <v>0.16811681497078276</v>
      </c>
    </row>
    <row r="2821" spans="3:13" x14ac:dyDescent="0.2">
      <c r="C2821" t="s">
        <v>935</v>
      </c>
      <c r="E2821" s="136">
        <v>25.205199999999998</v>
      </c>
      <c r="F2821" s="132">
        <v>26.495000000000029</v>
      </c>
      <c r="G2821" s="136">
        <v>22.834200000000028</v>
      </c>
      <c r="H2821" s="132">
        <v>17.398</v>
      </c>
      <c r="I2821" s="129">
        <f t="shared" si="932"/>
        <v>10.654208333333333</v>
      </c>
      <c r="J2821" s="90">
        <v>3.9104166666666669</v>
      </c>
      <c r="K2821" s="129">
        <f t="shared" si="933"/>
        <v>2.6069444444444443</v>
      </c>
      <c r="L2821" s="129">
        <f t="shared" si="934"/>
        <v>1.3034722222222221</v>
      </c>
      <c r="M2821" s="136">
        <v>0</v>
      </c>
    </row>
    <row r="2822" spans="3:13" x14ac:dyDescent="0.2">
      <c r="C2822" t="s">
        <v>1110</v>
      </c>
      <c r="E2822" s="90">
        <v>0.10696586875472194</v>
      </c>
      <c r="F2822" s="135">
        <v>0</v>
      </c>
      <c r="G2822" s="136">
        <v>0</v>
      </c>
      <c r="H2822" s="135">
        <v>0</v>
      </c>
      <c r="I2822" s="129">
        <f t="shared" si="932"/>
        <v>0</v>
      </c>
      <c r="J2822" s="90">
        <v>0</v>
      </c>
      <c r="K2822" s="129">
        <f t="shared" si="933"/>
        <v>0</v>
      </c>
      <c r="L2822" s="129">
        <f t="shared" si="934"/>
        <v>0</v>
      </c>
      <c r="M2822" s="136">
        <v>0</v>
      </c>
    </row>
    <row r="2823" spans="3:13" x14ac:dyDescent="0.2">
      <c r="C2823" t="s">
        <v>1034</v>
      </c>
      <c r="E2823" s="136">
        <v>0</v>
      </c>
      <c r="F2823" s="135">
        <v>0</v>
      </c>
      <c r="G2823" s="136">
        <v>0</v>
      </c>
      <c r="H2823" s="135">
        <v>0</v>
      </c>
      <c r="I2823" s="129">
        <f t="shared" si="932"/>
        <v>0</v>
      </c>
      <c r="J2823" s="136">
        <v>0</v>
      </c>
      <c r="K2823" s="129">
        <f t="shared" si="933"/>
        <v>0</v>
      </c>
      <c r="L2823" s="129">
        <f t="shared" si="934"/>
        <v>0</v>
      </c>
      <c r="M2823" s="90">
        <v>0</v>
      </c>
    </row>
    <row r="2824" spans="3:13" x14ac:dyDescent="0.2">
      <c r="C2824" t="s">
        <v>7</v>
      </c>
      <c r="E2824" s="53">
        <v>4.3298460203975001E-2</v>
      </c>
      <c r="F2824" s="131">
        <v>3.4638768163179998E-2</v>
      </c>
      <c r="G2824" s="53">
        <v>2.597907612238497E-2</v>
      </c>
      <c r="H2824" s="131">
        <v>1.7319384081589971E-2</v>
      </c>
      <c r="I2824" s="129">
        <f t="shared" si="932"/>
        <v>2.6749389699563091</v>
      </c>
      <c r="J2824" s="90">
        <v>5.332558555831028</v>
      </c>
      <c r="K2824" s="129">
        <f t="shared" si="933"/>
        <v>5.9148788974210182</v>
      </c>
      <c r="L2824" s="129">
        <f t="shared" si="934"/>
        <v>6.4971992390110085</v>
      </c>
      <c r="M2824" s="90">
        <v>7.0795195806010005</v>
      </c>
    </row>
    <row r="2825" spans="3:13" x14ac:dyDescent="0.2">
      <c r="C2825" t="s">
        <v>8</v>
      </c>
      <c r="E2825" s="53">
        <v>1.3612634558270335E-2</v>
      </c>
      <c r="F2825" s="131">
        <v>1.0890107646616305E-2</v>
      </c>
      <c r="G2825" s="53">
        <v>8.1675807349621942E-3</v>
      </c>
      <c r="H2825" s="131">
        <v>5.4450538233081387E-3</v>
      </c>
      <c r="I2825" s="129">
        <f t="shared" si="932"/>
        <v>2.9947796028194761E-3</v>
      </c>
      <c r="J2825" s="127">
        <v>5.4450538233081396E-4</v>
      </c>
      <c r="K2825" s="129">
        <f t="shared" si="933"/>
        <v>0.80480744803266568</v>
      </c>
      <c r="L2825" s="129">
        <f t="shared" si="934"/>
        <v>1.6090703906830006</v>
      </c>
      <c r="M2825" s="90">
        <v>2.4133333333333358</v>
      </c>
    </row>
    <row r="2826" spans="3:13" x14ac:dyDescent="0.2">
      <c r="C2826" t="s">
        <v>1112</v>
      </c>
      <c r="E2826" s="90">
        <v>2.2361111111111112</v>
      </c>
      <c r="F2826" s="134">
        <v>2.2361111111111138</v>
      </c>
      <c r="G2826" s="90">
        <v>2.2070629981865055</v>
      </c>
      <c r="H2826" s="134">
        <v>2.2361111111111112</v>
      </c>
      <c r="I2826" s="129">
        <f t="shared" si="932"/>
        <v>2.2361111111111125</v>
      </c>
      <c r="J2826" s="90">
        <v>2.2361111111111138</v>
      </c>
      <c r="K2826" s="129">
        <f t="shared" si="933"/>
        <v>2.2361111111111129</v>
      </c>
      <c r="L2826" s="129">
        <f t="shared" si="934"/>
        <v>2.236111111111112</v>
      </c>
      <c r="M2826" s="90">
        <v>2.2361111111111112</v>
      </c>
    </row>
    <row r="2827" spans="3:13" x14ac:dyDescent="0.2">
      <c r="C2827" t="s">
        <v>1113</v>
      </c>
      <c r="E2827" s="90">
        <v>0.161</v>
      </c>
      <c r="F2827" s="135">
        <v>0</v>
      </c>
      <c r="G2827" s="136">
        <v>0</v>
      </c>
      <c r="H2827" s="135">
        <v>0</v>
      </c>
      <c r="I2827" s="129">
        <f t="shared" si="932"/>
        <v>0</v>
      </c>
      <c r="J2827" s="136">
        <v>0</v>
      </c>
      <c r="K2827" s="129">
        <f t="shared" si="933"/>
        <v>0</v>
      </c>
      <c r="L2827" s="129">
        <f t="shared" si="934"/>
        <v>0</v>
      </c>
      <c r="M2827" s="136">
        <v>0</v>
      </c>
    </row>
    <row r="2828" spans="3:13" x14ac:dyDescent="0.2">
      <c r="C2828" t="s">
        <v>1117</v>
      </c>
      <c r="E2828" s="136">
        <v>16.029999999999973</v>
      </c>
      <c r="F2828" s="132">
        <v>16.55099999999997</v>
      </c>
      <c r="G2828" s="136">
        <v>18.114874999999973</v>
      </c>
      <c r="H2828" s="132">
        <v>18.268750000000026</v>
      </c>
      <c r="I2828" s="129">
        <f t="shared" si="932"/>
        <v>18.407237500000001</v>
      </c>
      <c r="J2828" s="136">
        <v>18.545724999999972</v>
      </c>
      <c r="K2828" s="129">
        <f t="shared" si="933"/>
        <v>18.555983333333312</v>
      </c>
      <c r="L2828" s="129">
        <f t="shared" si="934"/>
        <v>18.566241666666656</v>
      </c>
      <c r="M2828" s="136">
        <v>18.576499999999999</v>
      </c>
    </row>
    <row r="2829" spans="3:13" x14ac:dyDescent="0.2">
      <c r="C2829" t="s">
        <v>936</v>
      </c>
      <c r="E2829" s="136">
        <v>19.42480000000003</v>
      </c>
      <c r="F2829" s="132">
        <v>18.907000000000028</v>
      </c>
      <c r="G2829" s="136">
        <v>19.060875000000028</v>
      </c>
      <c r="H2829" s="132">
        <v>19.214749999999974</v>
      </c>
      <c r="I2829" s="129">
        <f t="shared" si="932"/>
        <v>19.353237499999999</v>
      </c>
      <c r="J2829" s="136">
        <v>19.491725000000027</v>
      </c>
      <c r="K2829" s="129">
        <f t="shared" si="933"/>
        <v>19.501983333333349</v>
      </c>
      <c r="L2829" s="129">
        <f t="shared" si="934"/>
        <v>19.512241666666675</v>
      </c>
      <c r="M2829" s="136">
        <v>19.522500000000001</v>
      </c>
    </row>
    <row r="2830" spans="3:13" x14ac:dyDescent="0.2">
      <c r="C2830" t="s">
        <v>1118</v>
      </c>
      <c r="E2830" s="90">
        <v>1.9952000000000027</v>
      </c>
      <c r="F2830" s="134">
        <v>0.69217489153893608</v>
      </c>
      <c r="G2830" s="90">
        <v>2.2909403855573638</v>
      </c>
      <c r="H2830" s="134">
        <v>2.6953352749004309</v>
      </c>
      <c r="I2830" s="129">
        <f t="shared" si="932"/>
        <v>3.1401979597152847</v>
      </c>
      <c r="J2830" s="90">
        <v>3.585060644530139</v>
      </c>
      <c r="K2830" s="129">
        <f t="shared" si="933"/>
        <v>3.5381639843843051</v>
      </c>
      <c r="L2830" s="129">
        <f t="shared" si="934"/>
        <v>3.4912673242384717</v>
      </c>
      <c r="M2830" s="90">
        <v>3.4443706640926388</v>
      </c>
    </row>
    <row r="2831" spans="3:13" x14ac:dyDescent="0.2">
      <c r="C2831" t="s">
        <v>1111</v>
      </c>
      <c r="E2831" s="90">
        <v>-2.4940000000000002</v>
      </c>
      <c r="F2831" s="134">
        <v>-0.86521861442366943</v>
      </c>
      <c r="G2831" s="90">
        <v>-2.8636754819466943</v>
      </c>
      <c r="H2831" s="134">
        <v>-3.3691690936255276</v>
      </c>
      <c r="I2831" s="129">
        <f t="shared" si="932"/>
        <v>-3.925247449644111</v>
      </c>
      <c r="J2831" s="90">
        <v>-4.4813258056626939</v>
      </c>
      <c r="K2831" s="129">
        <f t="shared" si="933"/>
        <v>-4.4227049804803968</v>
      </c>
      <c r="L2831" s="129">
        <f t="shared" si="934"/>
        <v>-4.3640841552981016</v>
      </c>
      <c r="M2831" s="90">
        <v>-4.3054633301158054</v>
      </c>
    </row>
    <row r="2832" spans="3:13" x14ac:dyDescent="0.2">
      <c r="C2832" t="s">
        <v>0</v>
      </c>
      <c r="E2832" s="136">
        <v>66.833999999999165</v>
      </c>
      <c r="F2832" s="132">
        <v>27.77777777777775</v>
      </c>
      <c r="G2832" s="136">
        <v>27.777777777778052</v>
      </c>
      <c r="H2832" s="132">
        <v>27.777777777777779</v>
      </c>
      <c r="I2832" s="129">
        <f t="shared" si="932"/>
        <v>27.777777777777914</v>
      </c>
      <c r="J2832" s="136">
        <v>27.777777777778052</v>
      </c>
      <c r="K2832" s="129">
        <f t="shared" si="933"/>
        <v>27.77777777777796</v>
      </c>
      <c r="L2832" s="129">
        <f t="shared" si="934"/>
        <v>27.777777777777871</v>
      </c>
      <c r="M2832" s="136">
        <v>27.777777777777779</v>
      </c>
    </row>
    <row r="2833" spans="2:13" x14ac:dyDescent="0.2">
      <c r="C2833" t="s">
        <v>185</v>
      </c>
      <c r="E2833" s="136">
        <v>-66.313000000000272</v>
      </c>
      <c r="F2833" s="132">
        <v>-27.777777777777779</v>
      </c>
      <c r="G2833" s="136">
        <v>-27.777777777777779</v>
      </c>
      <c r="H2833" s="132">
        <v>-27.777777777777779</v>
      </c>
      <c r="I2833" s="129">
        <f t="shared" si="932"/>
        <v>-27.77777777777775</v>
      </c>
      <c r="J2833" s="136">
        <v>-27.777777777777722</v>
      </c>
      <c r="K2833" s="129">
        <f t="shared" si="933"/>
        <v>-27.777777777777739</v>
      </c>
      <c r="L2833" s="129">
        <f t="shared" si="934"/>
        <v>-27.777777777777757</v>
      </c>
      <c r="M2833" s="136">
        <v>-27.777777777777779</v>
      </c>
    </row>
    <row r="2834" spans="2:13" x14ac:dyDescent="0.2">
      <c r="C2834" t="s">
        <v>1071</v>
      </c>
      <c r="E2834" s="19">
        <f>E2832+E2833</f>
        <v>0.52099999999889235</v>
      </c>
      <c r="F2834" s="19">
        <f>F2832+F2833</f>
        <v>-2.8421709430404007E-14</v>
      </c>
      <c r="G2834" s="21">
        <f t="shared" ref="G2834" si="935">G2832+G2833</f>
        <v>2.7355895326763857E-13</v>
      </c>
      <c r="H2834" s="21">
        <f t="shared" ref="H2834" si="936">H2832+H2833</f>
        <v>0</v>
      </c>
      <c r="I2834" s="129">
        <f t="shared" si="932"/>
        <v>1.6520118606422329E-13</v>
      </c>
      <c r="J2834" s="21">
        <f t="shared" ref="J2834" si="937">J2832+J2833</f>
        <v>3.3040237212844659E-13</v>
      </c>
      <c r="K2834" s="129">
        <f t="shared" si="933"/>
        <v>2.2026824808563106E-13</v>
      </c>
      <c r="L2834" s="129">
        <f t="shared" si="934"/>
        <v>1.1013412404281553E-13</v>
      </c>
      <c r="M2834" s="21">
        <f t="shared" ref="M2834" si="938">M2832+M2833</f>
        <v>0</v>
      </c>
    </row>
    <row r="2835" spans="2:13" x14ac:dyDescent="0.2">
      <c r="C2835" t="s">
        <v>1218</v>
      </c>
      <c r="E2835" s="19">
        <f>E2828+E2829+E2830+E2831</f>
        <v>34.95600000000001</v>
      </c>
      <c r="F2835" s="19">
        <f t="shared" ref="F2835:M2835" si="939">F2828+F2829+F2830+F2831</f>
        <v>35.284956277115263</v>
      </c>
      <c r="G2835" s="19">
        <f t="shared" si="939"/>
        <v>36.603014903610671</v>
      </c>
      <c r="H2835" s="19">
        <f t="shared" si="939"/>
        <v>36.809666181274899</v>
      </c>
      <c r="I2835" s="19">
        <f t="shared" si="939"/>
        <v>36.975425510071176</v>
      </c>
      <c r="J2835" s="19">
        <f t="shared" si="939"/>
        <v>37.141184838867446</v>
      </c>
      <c r="K2835" s="19">
        <f t="shared" si="939"/>
        <v>37.173425670570566</v>
      </c>
      <c r="L2835" s="19">
        <f t="shared" si="939"/>
        <v>37.205666502273701</v>
      </c>
      <c r="M2835" s="19">
        <f t="shared" si="939"/>
        <v>37.237907333976835</v>
      </c>
    </row>
    <row r="2836" spans="2:13" x14ac:dyDescent="0.2">
      <c r="C2836" t="s">
        <v>1222</v>
      </c>
      <c r="E2836" s="19">
        <f>SUM(E2818:E2833)</f>
        <v>64.147193161502457</v>
      </c>
      <c r="F2836" s="19">
        <f t="shared" ref="F2836:M2836" si="940">SUM(F2818:F2833)</f>
        <v>65.033173054100843</v>
      </c>
      <c r="G2836" s="19">
        <f t="shared" si="940"/>
        <v>65.796161760408637</v>
      </c>
      <c r="H2836" s="19">
        <f t="shared" si="940"/>
        <v>66.756380839273589</v>
      </c>
      <c r="I2836" s="19">
        <f t="shared" si="940"/>
        <v>66.734580107881328</v>
      </c>
      <c r="J2836" s="19">
        <f t="shared" si="940"/>
        <v>66.712779376489095</v>
      </c>
      <c r="K2836" s="19">
        <f t="shared" si="940"/>
        <v>68.780426272261437</v>
      </c>
      <c r="L2836" s="19">
        <f t="shared" si="940"/>
        <v>70.848073168033807</v>
      </c>
      <c r="M2836" s="19">
        <f t="shared" si="940"/>
        <v>72.915720063806162</v>
      </c>
    </row>
    <row r="2838" spans="2:13" ht="15" x14ac:dyDescent="0.25">
      <c r="B2838" s="2" t="s">
        <v>1123</v>
      </c>
    </row>
    <row r="2839" spans="2:13" ht="15" x14ac:dyDescent="0.25">
      <c r="C2839" s="13" t="s">
        <v>1097</v>
      </c>
      <c r="E2839" s="2">
        <v>2010</v>
      </c>
      <c r="F2839" s="2">
        <v>2015</v>
      </c>
      <c r="G2839" s="2">
        <v>2020</v>
      </c>
      <c r="H2839" s="2">
        <v>2025</v>
      </c>
      <c r="I2839" s="2">
        <v>2030</v>
      </c>
      <c r="J2839" s="2">
        <v>2035</v>
      </c>
      <c r="K2839" s="2">
        <v>2040</v>
      </c>
      <c r="L2839" s="2">
        <v>2045</v>
      </c>
      <c r="M2839" s="2">
        <v>2050</v>
      </c>
    </row>
    <row r="2840" spans="2:13" x14ac:dyDescent="0.2">
      <c r="C2840" t="s">
        <v>1107</v>
      </c>
      <c r="E2840" s="136">
        <v>0</v>
      </c>
      <c r="F2840" s="135">
        <v>0</v>
      </c>
      <c r="G2840" s="90">
        <v>0</v>
      </c>
      <c r="H2840" s="134">
        <v>0</v>
      </c>
      <c r="I2840" s="129">
        <f>1/2*(H2840+J2840)</f>
        <v>0</v>
      </c>
      <c r="J2840" s="90">
        <v>0</v>
      </c>
      <c r="K2840" s="129">
        <f>2/3*J2840+1/3*M2840</f>
        <v>0</v>
      </c>
      <c r="L2840" s="129">
        <f>1/3*J2840+2/3*M2840</f>
        <v>0</v>
      </c>
      <c r="M2840" s="90">
        <v>0</v>
      </c>
    </row>
    <row r="2841" spans="2:13" x14ac:dyDescent="0.2">
      <c r="C2841" t="s">
        <v>1108</v>
      </c>
      <c r="E2841" s="90">
        <v>0.90183000000000002</v>
      </c>
      <c r="F2841" s="134">
        <v>0.73177680934039446</v>
      </c>
      <c r="G2841" s="90">
        <v>0.54883260700529446</v>
      </c>
      <c r="H2841" s="134">
        <v>0.36588840467019723</v>
      </c>
      <c r="I2841" s="129">
        <f t="shared" ref="I2841:I2856" si="941">1/2*(H2841+J2841)</f>
        <v>0.20123862256860847</v>
      </c>
      <c r="J2841" s="90">
        <v>3.6588840467019719E-2</v>
      </c>
      <c r="K2841" s="129">
        <f t="shared" ref="K2841:K2856" si="942">2/3*J2841+1/3*M2841</f>
        <v>2.4392560311346477E-2</v>
      </c>
      <c r="L2841" s="129">
        <f t="shared" ref="L2841:L2856" si="943">1/3*J2841+2/3*M2841</f>
        <v>1.2196280155673239E-2</v>
      </c>
      <c r="M2841" s="136">
        <v>0</v>
      </c>
    </row>
    <row r="2842" spans="2:13" x14ac:dyDescent="0.2">
      <c r="C2842" t="s">
        <v>1109</v>
      </c>
      <c r="E2842" s="133">
        <v>2.1750868754721359E-3</v>
      </c>
      <c r="F2842" s="135">
        <v>0</v>
      </c>
      <c r="G2842" s="136">
        <v>0</v>
      </c>
      <c r="H2842" s="135">
        <v>0</v>
      </c>
      <c r="I2842" s="129">
        <f t="shared" si="941"/>
        <v>0</v>
      </c>
      <c r="J2842" s="136">
        <v>0</v>
      </c>
      <c r="K2842" s="129">
        <f t="shared" si="942"/>
        <v>0</v>
      </c>
      <c r="L2842" s="129">
        <f t="shared" si="943"/>
        <v>0</v>
      </c>
      <c r="M2842" s="136">
        <v>0</v>
      </c>
    </row>
    <row r="2843" spans="2:13" x14ac:dyDescent="0.2">
      <c r="C2843" t="s">
        <v>935</v>
      </c>
      <c r="E2843" s="136">
        <v>25.205199999999998</v>
      </c>
      <c r="F2843" s="132">
        <v>26.495000000000029</v>
      </c>
      <c r="G2843" s="136">
        <v>22.834200000000028</v>
      </c>
      <c r="H2843" s="132">
        <v>17.398</v>
      </c>
      <c r="I2843" s="129">
        <f t="shared" si="941"/>
        <v>10.654208333333333</v>
      </c>
      <c r="J2843" s="90">
        <v>3.9104166666666669</v>
      </c>
      <c r="K2843" s="129">
        <f t="shared" si="942"/>
        <v>2.6069444444444443</v>
      </c>
      <c r="L2843" s="129">
        <f t="shared" si="943"/>
        <v>1.3034722222222221</v>
      </c>
      <c r="M2843" s="136">
        <v>0</v>
      </c>
    </row>
    <row r="2844" spans="2:13" x14ac:dyDescent="0.2">
      <c r="C2844" t="s">
        <v>1110</v>
      </c>
      <c r="E2844" s="90">
        <v>0.10696586875472194</v>
      </c>
      <c r="F2844" s="131">
        <v>1.6954752534787555E-2</v>
      </c>
      <c r="G2844" s="136">
        <v>0</v>
      </c>
      <c r="H2844" s="128">
        <v>8.7003475018885279E-3</v>
      </c>
      <c r="I2844" s="129">
        <f t="shared" si="941"/>
        <v>4.3533271303185213E-3</v>
      </c>
      <c r="J2844" s="90">
        <v>6.3067587485151114E-6</v>
      </c>
      <c r="K2844" s="129">
        <f t="shared" si="942"/>
        <v>4.2045058323434076E-6</v>
      </c>
      <c r="L2844" s="129">
        <f t="shared" si="943"/>
        <v>2.1022529161717038E-6</v>
      </c>
      <c r="M2844" s="136">
        <v>0</v>
      </c>
    </row>
    <row r="2845" spans="2:13" x14ac:dyDescent="0.2">
      <c r="C2845" t="s">
        <v>1034</v>
      </c>
      <c r="E2845" s="136">
        <v>0</v>
      </c>
      <c r="F2845" s="135">
        <v>0</v>
      </c>
      <c r="G2845" s="136">
        <v>2.4265599999999998E-2</v>
      </c>
      <c r="H2845" s="134">
        <v>0.54552999999999996</v>
      </c>
      <c r="I2845" s="129">
        <f t="shared" si="941"/>
        <v>0.78796299999999997</v>
      </c>
      <c r="J2845" s="136">
        <v>1.0303959999999999</v>
      </c>
      <c r="K2845" s="129">
        <f t="shared" si="942"/>
        <v>1.9999597777777776</v>
      </c>
      <c r="L2845" s="129">
        <f t="shared" si="943"/>
        <v>2.969523555555555</v>
      </c>
      <c r="M2845" s="90">
        <v>3.9390873333333332</v>
      </c>
    </row>
    <row r="2846" spans="2:13" x14ac:dyDescent="0.2">
      <c r="C2846" t="s">
        <v>7</v>
      </c>
      <c r="E2846" s="53">
        <v>4.3298460203975001E-2</v>
      </c>
      <c r="F2846" s="131">
        <v>3.4638768163179998E-2</v>
      </c>
      <c r="G2846" s="53">
        <v>2.597907612238497E-2</v>
      </c>
      <c r="H2846" s="131">
        <v>1.7319384081589971E-2</v>
      </c>
      <c r="I2846" s="129">
        <f t="shared" si="941"/>
        <v>2.6749389699563091</v>
      </c>
      <c r="J2846" s="90">
        <v>5.332558555831028</v>
      </c>
      <c r="K2846" s="129">
        <f t="shared" si="942"/>
        <v>6.6270975073452592</v>
      </c>
      <c r="L2846" s="129">
        <f t="shared" si="943"/>
        <v>7.9216364588594903</v>
      </c>
      <c r="M2846" s="90">
        <v>9.2161754103737223</v>
      </c>
    </row>
    <row r="2847" spans="2:13" x14ac:dyDescent="0.2">
      <c r="C2847" t="s">
        <v>8</v>
      </c>
      <c r="E2847" s="53">
        <v>1.3612634558270335E-2</v>
      </c>
      <c r="F2847" s="131">
        <v>6.0691612942599449E-2</v>
      </c>
      <c r="G2847" s="53">
        <v>5.7969086030945277E-2</v>
      </c>
      <c r="H2847" s="131">
        <v>0.67720054335766389</v>
      </c>
      <c r="I2847" s="129">
        <f t="shared" si="941"/>
        <v>0.91515582723438205</v>
      </c>
      <c r="J2847" s="90">
        <v>1.1531111111111001</v>
      </c>
      <c r="K2847" s="129">
        <f t="shared" si="942"/>
        <v>1.5731851851851768</v>
      </c>
      <c r="L2847" s="129">
        <f t="shared" si="943"/>
        <v>1.9932592592592535</v>
      </c>
      <c r="M2847" s="90">
        <v>2.4133333333333304</v>
      </c>
    </row>
    <row r="2848" spans="2:13" x14ac:dyDescent="0.2">
      <c r="C2848" t="s">
        <v>1112</v>
      </c>
      <c r="E2848" s="90">
        <v>2.2361111111111112</v>
      </c>
      <c r="F2848" s="134">
        <v>2.2361111111111138</v>
      </c>
      <c r="G2848" s="90">
        <v>2.2070629981865055</v>
      </c>
      <c r="H2848" s="134">
        <v>2.2361111111111112</v>
      </c>
      <c r="I2848" s="129">
        <f t="shared" si="941"/>
        <v>2.2361111111111125</v>
      </c>
      <c r="J2848" s="90">
        <v>2.2361111111111138</v>
      </c>
      <c r="K2848" s="129">
        <f t="shared" si="942"/>
        <v>2.2361111111111129</v>
      </c>
      <c r="L2848" s="129">
        <f t="shared" si="943"/>
        <v>2.236111111111112</v>
      </c>
      <c r="M2848" s="90">
        <v>2.2361111111111112</v>
      </c>
    </row>
    <row r="2849" spans="2:13" x14ac:dyDescent="0.2">
      <c r="C2849" t="s">
        <v>1113</v>
      </c>
      <c r="E2849" s="90">
        <v>0.161</v>
      </c>
      <c r="F2849" s="135">
        <v>0</v>
      </c>
      <c r="G2849" s="136">
        <v>0</v>
      </c>
      <c r="H2849" s="131">
        <v>6.5320551713628883E-2</v>
      </c>
      <c r="I2849" s="129">
        <f t="shared" si="941"/>
        <v>3.2660275856814441E-2</v>
      </c>
      <c r="J2849" s="136">
        <v>0</v>
      </c>
      <c r="K2849" s="129">
        <f t="shared" si="942"/>
        <v>0.83323506284533422</v>
      </c>
      <c r="L2849" s="129">
        <f t="shared" si="943"/>
        <v>1.6664701256906684</v>
      </c>
      <c r="M2849" s="136">
        <v>2.4997051885360029</v>
      </c>
    </row>
    <row r="2850" spans="2:13" x14ac:dyDescent="0.2">
      <c r="C2850" t="s">
        <v>1117</v>
      </c>
      <c r="E2850" s="136">
        <v>16.029999999999973</v>
      </c>
      <c r="F2850" s="132">
        <v>16.55099999999997</v>
      </c>
      <c r="G2850" s="136">
        <v>18.114874999999973</v>
      </c>
      <c r="H2850" s="132">
        <v>18.268750000000026</v>
      </c>
      <c r="I2850" s="129">
        <f t="shared" si="941"/>
        <v>18.407237500000001</v>
      </c>
      <c r="J2850" s="136">
        <v>18.545724999999972</v>
      </c>
      <c r="K2850" s="129">
        <f t="shared" si="942"/>
        <v>18.555983333333312</v>
      </c>
      <c r="L2850" s="129">
        <f t="shared" si="943"/>
        <v>18.566241666666656</v>
      </c>
      <c r="M2850" s="136">
        <v>18.576499999999999</v>
      </c>
    </row>
    <row r="2851" spans="2:13" x14ac:dyDescent="0.2">
      <c r="C2851" t="s">
        <v>936</v>
      </c>
      <c r="E2851" s="136">
        <v>19.424800000000001</v>
      </c>
      <c r="F2851" s="132">
        <v>18.907000000000028</v>
      </c>
      <c r="G2851" s="136">
        <v>19.060875000000028</v>
      </c>
      <c r="H2851" s="132">
        <v>19.214749999999974</v>
      </c>
      <c r="I2851" s="129">
        <f t="shared" si="941"/>
        <v>19.353237499999956</v>
      </c>
      <c r="J2851" s="136">
        <v>19.491724999999942</v>
      </c>
      <c r="K2851" s="129">
        <f t="shared" si="942"/>
        <v>19.501983333333293</v>
      </c>
      <c r="L2851" s="129">
        <f t="shared" si="943"/>
        <v>19.512241666666647</v>
      </c>
      <c r="M2851" s="136">
        <v>19.522500000000001</v>
      </c>
    </row>
    <row r="2852" spans="2:13" x14ac:dyDescent="0.2">
      <c r="C2852" t="s">
        <v>1118</v>
      </c>
      <c r="E2852" s="90">
        <v>1.9952000000000027</v>
      </c>
      <c r="F2852" s="134">
        <v>0</v>
      </c>
      <c r="G2852" s="90">
        <v>1.2408132215539862</v>
      </c>
      <c r="H2852" s="134">
        <v>0</v>
      </c>
      <c r="I2852" s="129">
        <f t="shared" si="941"/>
        <v>0.29119831885514863</v>
      </c>
      <c r="J2852" s="90">
        <v>0.58239663771029726</v>
      </c>
      <c r="K2852" s="129">
        <f t="shared" si="942"/>
        <v>0.53358345489751025</v>
      </c>
      <c r="L2852" s="129">
        <f t="shared" si="943"/>
        <v>0.48477027208472312</v>
      </c>
      <c r="M2852" s="90">
        <v>0.4359570892719361</v>
      </c>
    </row>
    <row r="2853" spans="2:13" x14ac:dyDescent="0.2">
      <c r="C2853" t="s">
        <v>1111</v>
      </c>
      <c r="E2853" s="90">
        <v>-2.4940000000000002</v>
      </c>
      <c r="F2853" s="134">
        <v>0</v>
      </c>
      <c r="G2853" s="90">
        <v>-1.5510165269424805</v>
      </c>
      <c r="H2853" s="134">
        <v>0</v>
      </c>
      <c r="I2853" s="129">
        <f t="shared" si="941"/>
        <v>-0.36399789856893611</v>
      </c>
      <c r="J2853" s="90">
        <v>-0.72799579713787221</v>
      </c>
      <c r="K2853" s="129">
        <f t="shared" si="942"/>
        <v>-0.66697931862188797</v>
      </c>
      <c r="L2853" s="129">
        <f t="shared" si="943"/>
        <v>-0.60596284010590373</v>
      </c>
      <c r="M2853" s="90">
        <v>-0.54494636158991949</v>
      </c>
    </row>
    <row r="2854" spans="2:13" x14ac:dyDescent="0.2">
      <c r="C2854" t="s">
        <v>0</v>
      </c>
      <c r="E2854" s="136">
        <v>66.833999999999165</v>
      </c>
      <c r="F2854" s="132">
        <v>27.777777777777665</v>
      </c>
      <c r="G2854" s="136">
        <v>27.777777777777779</v>
      </c>
      <c r="H2854" s="132">
        <v>27.777777777777779</v>
      </c>
      <c r="I2854" s="129">
        <f t="shared" si="941"/>
        <v>27.777777777777708</v>
      </c>
      <c r="J2854" s="136">
        <v>27.77777777777764</v>
      </c>
      <c r="K2854" s="129">
        <f t="shared" si="942"/>
        <v>27.777777777777686</v>
      </c>
      <c r="L2854" s="129">
        <f t="shared" si="943"/>
        <v>27.777777777777732</v>
      </c>
      <c r="M2854" s="136">
        <v>27.777777777777779</v>
      </c>
    </row>
    <row r="2855" spans="2:13" x14ac:dyDescent="0.2">
      <c r="C2855" t="s">
        <v>185</v>
      </c>
      <c r="E2855" s="136">
        <v>-66.313000000000272</v>
      </c>
      <c r="F2855" s="132">
        <v>-27.77777777777775</v>
      </c>
      <c r="G2855" s="136">
        <v>-24.545472079339639</v>
      </c>
      <c r="H2855" s="132">
        <v>-19.818967280968778</v>
      </c>
      <c r="I2855" s="129">
        <f t="shared" si="941"/>
        <v>-16.237502557404735</v>
      </c>
      <c r="J2855" s="136">
        <v>-12.656037833840694</v>
      </c>
      <c r="K2855" s="129">
        <f t="shared" si="942"/>
        <v>-12.822852162018647</v>
      </c>
      <c r="L2855" s="129">
        <f t="shared" si="943"/>
        <v>-12.989666490196601</v>
      </c>
      <c r="M2855" s="136">
        <v>-13.156480818374556</v>
      </c>
    </row>
    <row r="2856" spans="2:13" x14ac:dyDescent="0.2">
      <c r="C2856" t="s">
        <v>1071</v>
      </c>
      <c r="E2856" s="19">
        <f>E2854+E2855</f>
        <v>0.52099999999889235</v>
      </c>
      <c r="F2856" s="19">
        <f>F2854+F2855</f>
        <v>-8.5265128291212022E-14</v>
      </c>
      <c r="G2856" s="21">
        <f t="shared" ref="G2856" si="944">G2854+G2855</f>
        <v>3.2323056984381395</v>
      </c>
      <c r="H2856" s="21">
        <f t="shared" ref="H2856" si="945">H2854+H2855</f>
        <v>7.9588104968090008</v>
      </c>
      <c r="I2856" s="129">
        <f t="shared" si="941"/>
        <v>11.540275220372973</v>
      </c>
      <c r="J2856" s="21">
        <f t="shared" ref="J2856" si="946">J2854+J2855</f>
        <v>15.121739943936946</v>
      </c>
      <c r="K2856" s="129">
        <f t="shared" si="942"/>
        <v>14.954925615759038</v>
      </c>
      <c r="L2856" s="129">
        <f t="shared" si="943"/>
        <v>14.788111287581131</v>
      </c>
      <c r="M2856" s="21">
        <f t="shared" ref="M2856" si="947">M2854+M2855</f>
        <v>14.621296959403223</v>
      </c>
    </row>
    <row r="2857" spans="2:13" x14ac:dyDescent="0.2">
      <c r="C2857" t="s">
        <v>1218</v>
      </c>
      <c r="E2857" s="19">
        <f>E2850+E2851+E2852+E2853</f>
        <v>34.955999999999982</v>
      </c>
      <c r="F2857" s="19">
        <f t="shared" ref="F2857:M2857" si="948">F2850+F2851+F2852+F2853</f>
        <v>35.457999999999998</v>
      </c>
      <c r="G2857" s="19">
        <f t="shared" si="948"/>
        <v>36.865546694611503</v>
      </c>
      <c r="H2857" s="19">
        <f t="shared" si="948"/>
        <v>37.483499999999999</v>
      </c>
      <c r="I2857" s="19">
        <f t="shared" si="948"/>
        <v>37.687675420286169</v>
      </c>
      <c r="J2857" s="19">
        <f t="shared" si="948"/>
        <v>37.891850840572339</v>
      </c>
      <c r="K2857" s="19">
        <f t="shared" si="948"/>
        <v>37.92457080294222</v>
      </c>
      <c r="L2857" s="19">
        <f t="shared" si="948"/>
        <v>37.957290765312123</v>
      </c>
      <c r="M2857" s="19">
        <f t="shared" si="948"/>
        <v>37.990010727682019</v>
      </c>
    </row>
    <row r="2858" spans="2:13" x14ac:dyDescent="0.2">
      <c r="C2858" t="s">
        <v>1222</v>
      </c>
      <c r="E2858" s="19">
        <f>SUM(E2840:E2855)</f>
        <v>64.1471931615024</v>
      </c>
      <c r="F2858" s="19">
        <f t="shared" ref="F2858:M2858" si="949">SUM(F2840:F2855)</f>
        <v>65.033173054092032</v>
      </c>
      <c r="G2858" s="19">
        <f t="shared" si="949"/>
        <v>65.796161760394796</v>
      </c>
      <c r="H2858" s="19">
        <f t="shared" si="949"/>
        <v>66.756380839245082</v>
      </c>
      <c r="I2858" s="19">
        <f t="shared" si="949"/>
        <v>66.734580107850022</v>
      </c>
      <c r="J2858" s="19">
        <f t="shared" si="949"/>
        <v>66.712779376454961</v>
      </c>
      <c r="K2858" s="19">
        <f t="shared" si="949"/>
        <v>68.780426272227544</v>
      </c>
      <c r="L2858" s="19">
        <f t="shared" si="949"/>
        <v>70.848073168000141</v>
      </c>
      <c r="M2858" s="19">
        <f t="shared" si="949"/>
        <v>72.915720063772724</v>
      </c>
    </row>
    <row r="2859" spans="2:13" x14ac:dyDescent="0.2">
      <c r="E2859" s="4"/>
      <c r="F2859" s="6"/>
      <c r="G2859" s="6"/>
      <c r="H2859" s="6"/>
      <c r="I2859" s="6"/>
      <c r="J2859" s="6"/>
      <c r="K2859" s="6"/>
      <c r="L2859" s="6"/>
      <c r="M2859" s="6"/>
    </row>
    <row r="2860" spans="2:13" ht="15" x14ac:dyDescent="0.25">
      <c r="B2860" s="2" t="s">
        <v>1116</v>
      </c>
    </row>
    <row r="2861" spans="2:13" ht="15" x14ac:dyDescent="0.25">
      <c r="C2861" s="13" t="s">
        <v>1097</v>
      </c>
      <c r="E2861" s="2">
        <v>2010</v>
      </c>
      <c r="F2861" s="2">
        <v>2015</v>
      </c>
      <c r="G2861" s="2">
        <v>2020</v>
      </c>
      <c r="H2861" s="2">
        <v>2025</v>
      </c>
      <c r="I2861" s="2">
        <v>2030</v>
      </c>
      <c r="J2861" s="2">
        <v>2035</v>
      </c>
      <c r="K2861" s="2">
        <v>2040</v>
      </c>
      <c r="L2861" s="2">
        <v>2045</v>
      </c>
      <c r="M2861" s="2">
        <v>2050</v>
      </c>
    </row>
    <row r="2862" spans="2:13" x14ac:dyDescent="0.2">
      <c r="C2862" t="s">
        <v>1107</v>
      </c>
      <c r="E2862" s="136">
        <v>0</v>
      </c>
      <c r="F2862" s="135">
        <v>0</v>
      </c>
      <c r="G2862" s="90">
        <v>2.1597329500230722</v>
      </c>
      <c r="H2862" s="134">
        <v>7.92</v>
      </c>
      <c r="I2862" s="129">
        <f>1/2*(H2862+J2862)</f>
        <v>3.96</v>
      </c>
      <c r="J2862" s="90">
        <v>0</v>
      </c>
      <c r="K2862" s="129">
        <f>2/3*J2862+1/3*M2862</f>
        <v>1.7877261389752406</v>
      </c>
      <c r="L2862" s="129">
        <f>1/3*J2862+2/3*M2862</f>
        <v>3.5754522779504812</v>
      </c>
      <c r="M2862" s="90">
        <v>5.3631784169257219</v>
      </c>
    </row>
    <row r="2863" spans="2:13" x14ac:dyDescent="0.2">
      <c r="C2863" t="s">
        <v>1108</v>
      </c>
      <c r="E2863" s="90">
        <v>0.90183000000000002</v>
      </c>
      <c r="F2863" s="134">
        <v>0.86855750377314722</v>
      </c>
      <c r="G2863" s="90">
        <v>1.7057622457172359</v>
      </c>
      <c r="H2863" s="134">
        <v>1.7693064860498862</v>
      </c>
      <c r="I2863" s="129">
        <f t="shared" ref="I2863:I2878" si="950">1/2*(H2863+J2863)</f>
        <v>0.88465324302494308</v>
      </c>
      <c r="J2863" s="90">
        <v>0</v>
      </c>
      <c r="K2863" s="129">
        <f t="shared" ref="K2863:K2878" si="951">2/3*J2863+1/3*M2863</f>
        <v>0</v>
      </c>
      <c r="L2863" s="129">
        <f t="shared" ref="L2863:L2878" si="952">1/3*J2863+2/3*M2863</f>
        <v>0</v>
      </c>
      <c r="M2863" s="136">
        <v>0</v>
      </c>
    </row>
    <row r="2864" spans="2:13" x14ac:dyDescent="0.2">
      <c r="C2864" t="s">
        <v>1109</v>
      </c>
      <c r="E2864" s="133">
        <v>2.1750868754721359E-3</v>
      </c>
      <c r="F2864" s="135">
        <v>0</v>
      </c>
      <c r="G2864" s="136">
        <v>0</v>
      </c>
      <c r="H2864" s="135">
        <v>0</v>
      </c>
      <c r="I2864" s="129">
        <f t="shared" si="950"/>
        <v>0</v>
      </c>
      <c r="J2864" s="136">
        <v>0</v>
      </c>
      <c r="K2864" s="129">
        <f t="shared" si="951"/>
        <v>0</v>
      </c>
      <c r="L2864" s="129">
        <f t="shared" si="952"/>
        <v>0</v>
      </c>
      <c r="M2864" s="136">
        <v>0</v>
      </c>
    </row>
    <row r="2865" spans="3:13" x14ac:dyDescent="0.2">
      <c r="C2865" t="s">
        <v>935</v>
      </c>
      <c r="E2865" s="136">
        <v>25.205199999999998</v>
      </c>
      <c r="F2865" s="132">
        <v>26.495000000000029</v>
      </c>
      <c r="G2865" s="136">
        <v>22.834200000000028</v>
      </c>
      <c r="H2865" s="132">
        <v>17.398</v>
      </c>
      <c r="I2865" s="129">
        <f t="shared" si="950"/>
        <v>21.166208333333348</v>
      </c>
      <c r="J2865" s="90">
        <v>24.934416666666696</v>
      </c>
      <c r="K2865" s="129">
        <f t="shared" si="951"/>
        <v>25.032544444444472</v>
      </c>
      <c r="L2865" s="129">
        <f t="shared" si="952"/>
        <v>25.130672222222248</v>
      </c>
      <c r="M2865" s="136">
        <v>25.228800000000025</v>
      </c>
    </row>
    <row r="2866" spans="3:13" x14ac:dyDescent="0.2">
      <c r="C2866" t="s">
        <v>1110</v>
      </c>
      <c r="E2866" s="90">
        <v>0.10696586875472194</v>
      </c>
      <c r="F2866" s="135">
        <v>0</v>
      </c>
      <c r="G2866" s="136">
        <v>0</v>
      </c>
      <c r="H2866" s="128">
        <v>7.6599806059720558E-3</v>
      </c>
      <c r="I2866" s="129">
        <f t="shared" si="950"/>
        <v>3.8299903029860279E-3</v>
      </c>
      <c r="J2866" s="90">
        <v>0</v>
      </c>
      <c r="K2866" s="129">
        <f t="shared" si="951"/>
        <v>0</v>
      </c>
      <c r="L2866" s="129">
        <f t="shared" si="952"/>
        <v>0</v>
      </c>
      <c r="M2866" s="136">
        <v>0</v>
      </c>
    </row>
    <row r="2867" spans="3:13" x14ac:dyDescent="0.2">
      <c r="C2867" t="s">
        <v>1034</v>
      </c>
      <c r="E2867" s="136">
        <v>0</v>
      </c>
      <c r="F2867" s="135">
        <v>0</v>
      </c>
      <c r="G2867" s="136">
        <v>0</v>
      </c>
      <c r="H2867" s="135">
        <v>0</v>
      </c>
      <c r="I2867" s="129">
        <f t="shared" si="950"/>
        <v>0</v>
      </c>
      <c r="J2867" s="136">
        <v>0</v>
      </c>
      <c r="K2867" s="129">
        <f t="shared" si="951"/>
        <v>0</v>
      </c>
      <c r="L2867" s="129">
        <f t="shared" si="952"/>
        <v>0</v>
      </c>
      <c r="M2867" s="90">
        <v>0</v>
      </c>
    </row>
    <row r="2868" spans="3:13" x14ac:dyDescent="0.2">
      <c r="C2868" t="s">
        <v>7</v>
      </c>
      <c r="E2868" s="53">
        <v>4.3298460203975001E-2</v>
      </c>
      <c r="F2868" s="131">
        <v>3.4638768163179998E-2</v>
      </c>
      <c r="G2868" s="53">
        <v>2.597907612238497E-2</v>
      </c>
      <c r="H2868" s="131">
        <v>1.7319384081589971E-2</v>
      </c>
      <c r="I2868" s="129">
        <f t="shared" si="950"/>
        <v>1.4233454912040451</v>
      </c>
      <c r="J2868" s="90">
        <v>2.8293715983265</v>
      </c>
      <c r="K2868" s="129">
        <f t="shared" si="951"/>
        <v>2.8287942855237773</v>
      </c>
      <c r="L2868" s="129">
        <f t="shared" si="952"/>
        <v>2.8282169727210551</v>
      </c>
      <c r="M2868" s="90">
        <v>2.8276396599183333</v>
      </c>
    </row>
    <row r="2869" spans="3:13" x14ac:dyDescent="0.2">
      <c r="C2869" t="s">
        <v>8</v>
      </c>
      <c r="E2869" s="53">
        <v>1.3612634558270335E-2</v>
      </c>
      <c r="F2869" s="131">
        <v>1.0890107646616305E-2</v>
      </c>
      <c r="G2869" s="53">
        <v>8.1675807349621942E-3</v>
      </c>
      <c r="H2869" s="131">
        <v>5.4450538233081387E-3</v>
      </c>
      <c r="I2869" s="129">
        <f t="shared" si="950"/>
        <v>2.9947796028194761E-3</v>
      </c>
      <c r="J2869" s="127">
        <v>5.4450538233081396E-4</v>
      </c>
      <c r="K2869" s="129">
        <f t="shared" si="951"/>
        <v>0.10075352236591127</v>
      </c>
      <c r="L2869" s="129">
        <f t="shared" si="952"/>
        <v>0.20096253934949174</v>
      </c>
      <c r="M2869" s="90">
        <v>0.30117155633307219</v>
      </c>
    </row>
    <row r="2870" spans="3:13" x14ac:dyDescent="0.2">
      <c r="C2870" t="s">
        <v>1112</v>
      </c>
      <c r="E2870" s="90">
        <v>2.2361111111111112</v>
      </c>
      <c r="F2870" s="134">
        <v>2.2361111111111138</v>
      </c>
      <c r="G2870" s="90">
        <v>2.2070629981865055</v>
      </c>
      <c r="H2870" s="134">
        <v>2.2361111111111112</v>
      </c>
      <c r="I2870" s="129">
        <f t="shared" si="950"/>
        <v>2.2361111111111125</v>
      </c>
      <c r="J2870" s="90">
        <v>2.2361111111111138</v>
      </c>
      <c r="K2870" s="129">
        <f t="shared" si="951"/>
        <v>2.2361111111111129</v>
      </c>
      <c r="L2870" s="129">
        <f t="shared" si="952"/>
        <v>2.236111111111112</v>
      </c>
      <c r="M2870" s="90">
        <v>2.2361111111111112</v>
      </c>
    </row>
    <row r="2871" spans="3:13" x14ac:dyDescent="0.2">
      <c r="C2871" t="s">
        <v>1113</v>
      </c>
      <c r="E2871" s="90">
        <v>0.161</v>
      </c>
      <c r="F2871" s="135">
        <v>0</v>
      </c>
      <c r="G2871" s="136">
        <v>0</v>
      </c>
      <c r="H2871" s="135">
        <v>0</v>
      </c>
      <c r="I2871" s="129">
        <f t="shared" si="950"/>
        <v>0</v>
      </c>
      <c r="J2871" s="136">
        <v>0</v>
      </c>
      <c r="K2871" s="129">
        <f t="shared" si="951"/>
        <v>0</v>
      </c>
      <c r="L2871" s="129">
        <f t="shared" si="952"/>
        <v>0</v>
      </c>
      <c r="M2871" s="136">
        <v>0</v>
      </c>
    </row>
    <row r="2872" spans="3:13" x14ac:dyDescent="0.2">
      <c r="C2872" t="s">
        <v>1117</v>
      </c>
      <c r="E2872" s="136">
        <v>16.029999999999973</v>
      </c>
      <c r="F2872" s="132">
        <v>16.55099999999997</v>
      </c>
      <c r="G2872" s="136">
        <v>18.114874999999973</v>
      </c>
      <c r="H2872" s="132">
        <v>18.268750000000026</v>
      </c>
      <c r="I2872" s="129">
        <f t="shared" si="950"/>
        <v>18.407237500000001</v>
      </c>
      <c r="J2872" s="136">
        <v>18.545724999999972</v>
      </c>
      <c r="K2872" s="129">
        <f t="shared" si="951"/>
        <v>18.555983333333312</v>
      </c>
      <c r="L2872" s="129">
        <f t="shared" si="952"/>
        <v>18.566241666666656</v>
      </c>
      <c r="M2872" s="136">
        <v>18.576499999999999</v>
      </c>
    </row>
    <row r="2873" spans="3:13" x14ac:dyDescent="0.2">
      <c r="C2873" t="s">
        <v>936</v>
      </c>
      <c r="E2873" s="136">
        <v>19.424800000000001</v>
      </c>
      <c r="F2873" s="132">
        <v>18.907000000000028</v>
      </c>
      <c r="G2873" s="136">
        <v>19.060874999999999</v>
      </c>
      <c r="H2873" s="132">
        <v>19.214749999999974</v>
      </c>
      <c r="I2873" s="129">
        <f t="shared" si="950"/>
        <v>19.353237499999999</v>
      </c>
      <c r="J2873" s="136">
        <v>19.491725000000027</v>
      </c>
      <c r="K2873" s="129">
        <f t="shared" si="951"/>
        <v>19.501983333333349</v>
      </c>
      <c r="L2873" s="129">
        <f t="shared" si="952"/>
        <v>19.512241666666675</v>
      </c>
      <c r="M2873" s="136">
        <v>19.522500000000001</v>
      </c>
    </row>
    <row r="2874" spans="3:13" x14ac:dyDescent="0.2">
      <c r="C2874" t="s">
        <v>1118</v>
      </c>
      <c r="E2874" s="90">
        <v>1.9952000000000027</v>
      </c>
      <c r="F2874" s="134">
        <v>0.28009774639148055</v>
      </c>
      <c r="G2874" s="90">
        <v>1.2819723615557528</v>
      </c>
      <c r="H2874" s="134">
        <v>0.32384470568344997</v>
      </c>
      <c r="I2874" s="129">
        <f t="shared" si="950"/>
        <v>2.8121513627996557</v>
      </c>
      <c r="J2874" s="90">
        <v>5.3004580199158617</v>
      </c>
      <c r="K2874" s="129">
        <f t="shared" si="951"/>
        <v>5.0538795872376205</v>
      </c>
      <c r="L2874" s="129">
        <f t="shared" si="952"/>
        <v>4.8073011545593793</v>
      </c>
      <c r="M2874" s="90">
        <v>4.560722721881139</v>
      </c>
    </row>
    <row r="2875" spans="3:13" x14ac:dyDescent="0.2">
      <c r="C2875" t="s">
        <v>1111</v>
      </c>
      <c r="E2875" s="90">
        <v>-2.4940000000000002</v>
      </c>
      <c r="F2875" s="134">
        <v>-0.35012218298935277</v>
      </c>
      <c r="G2875" s="90">
        <v>-1.6024654519446915</v>
      </c>
      <c r="H2875" s="134">
        <v>-0.4048058821043139</v>
      </c>
      <c r="I2875" s="129">
        <f t="shared" si="950"/>
        <v>-3.5151892034995598</v>
      </c>
      <c r="J2875" s="90">
        <v>-6.6255725248948059</v>
      </c>
      <c r="K2875" s="129">
        <f t="shared" si="951"/>
        <v>-6.3173494840470088</v>
      </c>
      <c r="L2875" s="129">
        <f t="shared" si="952"/>
        <v>-6.0091264431992126</v>
      </c>
      <c r="M2875" s="90">
        <v>-5.7009034023514165</v>
      </c>
    </row>
    <row r="2876" spans="3:13" x14ac:dyDescent="0.2">
      <c r="C2876" t="s">
        <v>0</v>
      </c>
      <c r="E2876" s="136">
        <v>66.833999999999165</v>
      </c>
      <c r="F2876" s="132">
        <v>27.777777777777779</v>
      </c>
      <c r="G2876" s="136">
        <v>27.777777777777779</v>
      </c>
      <c r="H2876" s="132">
        <v>27.777777777777779</v>
      </c>
      <c r="I2876" s="129">
        <f t="shared" si="950"/>
        <v>27.777777777777779</v>
      </c>
      <c r="J2876" s="136">
        <v>27.777777777777779</v>
      </c>
      <c r="K2876" s="129">
        <f t="shared" si="951"/>
        <v>27.777777777777757</v>
      </c>
      <c r="L2876" s="129">
        <f t="shared" si="952"/>
        <v>27.777777777777739</v>
      </c>
      <c r="M2876" s="136">
        <v>27.777777777777722</v>
      </c>
    </row>
    <row r="2877" spans="3:13" x14ac:dyDescent="0.2">
      <c r="C2877" t="s">
        <v>185</v>
      </c>
      <c r="E2877" s="136">
        <v>-66.313000000000272</v>
      </c>
      <c r="F2877" s="132">
        <v>-27.777777777777779</v>
      </c>
      <c r="G2877" s="136">
        <v>-27.777777777777779</v>
      </c>
      <c r="H2877" s="132">
        <v>-27.777777777777779</v>
      </c>
      <c r="I2877" s="129">
        <f t="shared" si="950"/>
        <v>-27.777777777777779</v>
      </c>
      <c r="J2877" s="136">
        <v>-27.777777777777779</v>
      </c>
      <c r="K2877" s="129">
        <f t="shared" si="951"/>
        <v>-27.777777777777779</v>
      </c>
      <c r="L2877" s="129">
        <f t="shared" si="952"/>
        <v>-27.777777777777779</v>
      </c>
      <c r="M2877" s="136">
        <v>-27.777777777777779</v>
      </c>
    </row>
    <row r="2878" spans="3:13" x14ac:dyDescent="0.2">
      <c r="C2878" t="s">
        <v>1071</v>
      </c>
      <c r="E2878" s="19">
        <f>E2876+E2877</f>
        <v>0.52099999999889235</v>
      </c>
      <c r="F2878" s="19">
        <f>F2876+F2877</f>
        <v>0</v>
      </c>
      <c r="G2878" s="21">
        <f t="shared" ref="G2878" si="953">G2876+G2877</f>
        <v>0</v>
      </c>
      <c r="H2878" s="21">
        <f t="shared" ref="H2878" si="954">H2876+H2877</f>
        <v>0</v>
      </c>
      <c r="I2878" s="129">
        <f t="shared" si="950"/>
        <v>0</v>
      </c>
      <c r="J2878" s="21">
        <f t="shared" ref="J2878" si="955">J2876+J2877</f>
        <v>0</v>
      </c>
      <c r="K2878" s="129">
        <f t="shared" si="951"/>
        <v>-1.8947806286936004E-14</v>
      </c>
      <c r="L2878" s="129">
        <f t="shared" si="952"/>
        <v>-3.7895612573872008E-14</v>
      </c>
      <c r="M2878" s="21">
        <f t="shared" ref="M2878" si="956">M2876+M2877</f>
        <v>-5.6843418860808015E-14</v>
      </c>
    </row>
    <row r="2879" spans="3:13" x14ac:dyDescent="0.2">
      <c r="C2879" t="s">
        <v>1218</v>
      </c>
      <c r="E2879" s="19">
        <f>E2872+E2873+E2874+E2875</f>
        <v>34.955999999999982</v>
      </c>
      <c r="F2879" s="19">
        <f t="shared" ref="F2879:M2879" si="957">F2872+F2873+F2874+F2875</f>
        <v>35.387975563402129</v>
      </c>
      <c r="G2879" s="19">
        <f t="shared" si="957"/>
        <v>36.855256909611036</v>
      </c>
      <c r="H2879" s="19">
        <f t="shared" si="957"/>
        <v>37.402538823579135</v>
      </c>
      <c r="I2879" s="19">
        <f t="shared" si="957"/>
        <v>37.057437159300093</v>
      </c>
      <c r="J2879" s="19">
        <f t="shared" si="957"/>
        <v>36.712335495021051</v>
      </c>
      <c r="K2879" s="19">
        <f t="shared" si="957"/>
        <v>36.794496769857268</v>
      </c>
      <c r="L2879" s="19">
        <f t="shared" si="957"/>
        <v>36.876658044693492</v>
      </c>
      <c r="M2879" s="19">
        <f t="shared" si="957"/>
        <v>36.958819319529731</v>
      </c>
    </row>
    <row r="2880" spans="3:13" x14ac:dyDescent="0.2">
      <c r="C2880" t="s">
        <v>1222</v>
      </c>
      <c r="E2880" s="19">
        <f>SUM(E2862:E2877)</f>
        <v>64.1471931615024</v>
      </c>
      <c r="F2880" s="19">
        <f t="shared" ref="F2880:M2880" si="958">SUM(F2862:F2877)</f>
        <v>65.03317305409621</v>
      </c>
      <c r="G2880" s="19">
        <f t="shared" si="958"/>
        <v>65.796161760395222</v>
      </c>
      <c r="H2880" s="19">
        <f t="shared" si="958"/>
        <v>66.756380839251023</v>
      </c>
      <c r="I2880" s="19">
        <f t="shared" si="958"/>
        <v>66.734580107879367</v>
      </c>
      <c r="J2880" s="19">
        <f t="shared" si="958"/>
        <v>66.712779376507712</v>
      </c>
      <c r="K2880" s="19">
        <f t="shared" si="958"/>
        <v>68.780426272277765</v>
      </c>
      <c r="L2880" s="19">
        <f t="shared" si="958"/>
        <v>70.848073168047847</v>
      </c>
      <c r="M2880" s="19">
        <f t="shared" si="958"/>
        <v>72.915720063817929</v>
      </c>
    </row>
    <row r="2881" spans="2:13" x14ac:dyDescent="0.2">
      <c r="E2881" s="19"/>
      <c r="F2881" s="19"/>
      <c r="G2881" s="19"/>
      <c r="H2881" s="19"/>
      <c r="I2881" s="19"/>
      <c r="J2881" s="19"/>
      <c r="K2881" s="19"/>
      <c r="L2881" s="19"/>
      <c r="M2881" s="19"/>
    </row>
    <row r="2882" spans="2:13" ht="15" x14ac:dyDescent="0.25">
      <c r="B2882" s="2" t="s">
        <v>1106</v>
      </c>
    </row>
    <row r="2883" spans="2:13" ht="15" x14ac:dyDescent="0.25">
      <c r="C2883" s="13" t="s">
        <v>1097</v>
      </c>
      <c r="E2883" s="2">
        <v>2010</v>
      </c>
      <c r="F2883" s="2">
        <v>2015</v>
      </c>
      <c r="G2883" s="2">
        <v>2020</v>
      </c>
      <c r="H2883" s="2">
        <v>2025</v>
      </c>
      <c r="I2883" s="2">
        <v>2030</v>
      </c>
      <c r="J2883" s="2">
        <v>2035</v>
      </c>
      <c r="K2883" s="2">
        <v>2040</v>
      </c>
      <c r="L2883" s="2">
        <v>2045</v>
      </c>
      <c r="M2883" s="2">
        <v>2050</v>
      </c>
    </row>
    <row r="2884" spans="2:13" x14ac:dyDescent="0.2">
      <c r="C2884" t="s">
        <v>1107</v>
      </c>
      <c r="E2884" s="136">
        <v>0</v>
      </c>
      <c r="F2884" s="135">
        <v>0</v>
      </c>
      <c r="G2884" s="90">
        <v>0.73215830926725833</v>
      </c>
      <c r="H2884" s="134">
        <v>5.4680511866465835</v>
      </c>
      <c r="I2884" s="107">
        <f>1/2*(H2884+J2884)</f>
        <v>9.0972352929664311</v>
      </c>
      <c r="J2884" s="90">
        <v>12.726419399286277</v>
      </c>
      <c r="K2884" s="107">
        <f>2/3*J2884+1/3*M2884</f>
        <v>14.651512476236508</v>
      </c>
      <c r="L2884" s="107">
        <f>1/3*J2884+2/3*M2884</f>
        <v>16.576605553186738</v>
      </c>
      <c r="M2884" s="90">
        <v>18.501698630136971</v>
      </c>
    </row>
    <row r="2885" spans="2:13" x14ac:dyDescent="0.2">
      <c r="C2885" t="s">
        <v>1108</v>
      </c>
      <c r="E2885" s="90">
        <v>0.90183000000000002</v>
      </c>
      <c r="F2885" s="135">
        <v>0</v>
      </c>
      <c r="G2885" s="90">
        <v>0.54883260700529446</v>
      </c>
      <c r="H2885" s="134">
        <v>0.36588840467019723</v>
      </c>
      <c r="I2885" s="107">
        <f t="shared" ref="I2885:I2900" si="959">1/2*(H2885+J2885)</f>
        <v>0.18294420233509862</v>
      </c>
      <c r="J2885" s="90">
        <v>0</v>
      </c>
      <c r="K2885" s="107">
        <f t="shared" ref="K2885:K2900" si="960">2/3*J2885+1/3*M2885</f>
        <v>0</v>
      </c>
      <c r="L2885" s="107">
        <f t="shared" ref="L2885:L2900" si="961">1/3*J2885+2/3*M2885</f>
        <v>0</v>
      </c>
      <c r="M2885" s="136">
        <v>0</v>
      </c>
    </row>
    <row r="2886" spans="2:13" x14ac:dyDescent="0.2">
      <c r="C2886" t="s">
        <v>1109</v>
      </c>
      <c r="E2886" s="133">
        <v>2.1750868754721359E-3</v>
      </c>
      <c r="F2886" s="135">
        <v>0</v>
      </c>
      <c r="G2886" s="136">
        <v>0</v>
      </c>
      <c r="H2886" s="135">
        <v>0</v>
      </c>
      <c r="I2886" s="107">
        <f t="shared" si="959"/>
        <v>0</v>
      </c>
      <c r="J2886" s="136">
        <v>0</v>
      </c>
      <c r="K2886" s="107">
        <f t="shared" si="960"/>
        <v>0</v>
      </c>
      <c r="L2886" s="107">
        <f t="shared" si="961"/>
        <v>0</v>
      </c>
      <c r="M2886" s="136">
        <v>0</v>
      </c>
    </row>
    <row r="2887" spans="2:13" x14ac:dyDescent="0.2">
      <c r="C2887" t="s">
        <v>935</v>
      </c>
      <c r="E2887" s="136">
        <v>25.205199999999998</v>
      </c>
      <c r="F2887" s="132">
        <v>26.495000000000029</v>
      </c>
      <c r="G2887" s="136">
        <v>22.834200000000028</v>
      </c>
      <c r="H2887" s="132">
        <v>17.398</v>
      </c>
      <c r="I2887" s="107">
        <f t="shared" si="959"/>
        <v>10.654208333333333</v>
      </c>
      <c r="J2887" s="90">
        <v>3.9104166666666669</v>
      </c>
      <c r="K2887" s="107">
        <f t="shared" si="960"/>
        <v>2.6069444444444443</v>
      </c>
      <c r="L2887" s="107">
        <f t="shared" si="961"/>
        <v>1.3034722222222221</v>
      </c>
      <c r="M2887" s="136">
        <v>0</v>
      </c>
    </row>
    <row r="2888" spans="2:13" x14ac:dyDescent="0.2">
      <c r="C2888" t="s">
        <v>1110</v>
      </c>
      <c r="E2888" s="90">
        <v>0.10696586875472194</v>
      </c>
      <c r="F2888" s="135">
        <v>0</v>
      </c>
      <c r="G2888" s="136">
        <v>0</v>
      </c>
      <c r="H2888" s="135">
        <v>0</v>
      </c>
      <c r="I2888" s="107">
        <f t="shared" si="959"/>
        <v>0</v>
      </c>
      <c r="J2888" s="90">
        <v>0</v>
      </c>
      <c r="K2888" s="107">
        <f t="shared" si="960"/>
        <v>0</v>
      </c>
      <c r="L2888" s="107">
        <f t="shared" si="961"/>
        <v>0</v>
      </c>
      <c r="M2888" s="136">
        <v>0</v>
      </c>
    </row>
    <row r="2889" spans="2:13" x14ac:dyDescent="0.2">
      <c r="C2889" t="s">
        <v>1034</v>
      </c>
      <c r="E2889" s="136">
        <v>0</v>
      </c>
      <c r="F2889" s="135">
        <v>0</v>
      </c>
      <c r="G2889" s="136">
        <v>0</v>
      </c>
      <c r="H2889" s="135">
        <v>0</v>
      </c>
      <c r="I2889" s="107">
        <f t="shared" si="959"/>
        <v>0</v>
      </c>
      <c r="J2889" s="136">
        <v>0</v>
      </c>
      <c r="K2889" s="107">
        <f t="shared" si="960"/>
        <v>0</v>
      </c>
      <c r="L2889" s="107">
        <f t="shared" si="961"/>
        <v>0</v>
      </c>
      <c r="M2889" s="90">
        <v>0</v>
      </c>
    </row>
    <row r="2890" spans="2:13" x14ac:dyDescent="0.2">
      <c r="C2890" t="s">
        <v>7</v>
      </c>
      <c r="E2890" s="53">
        <v>4.3298460203975001E-2</v>
      </c>
      <c r="F2890" s="131">
        <v>3.4638768163179998E-2</v>
      </c>
      <c r="G2890" s="53">
        <v>2.597907612238497E-2</v>
      </c>
      <c r="H2890" s="131">
        <v>1.7319384081589971E-2</v>
      </c>
      <c r="I2890" s="107">
        <f t="shared" si="959"/>
        <v>2.6749389699563091</v>
      </c>
      <c r="J2890" s="90">
        <v>5.332558555831028</v>
      </c>
      <c r="K2890" s="107">
        <f t="shared" si="960"/>
        <v>5.3319812430283058</v>
      </c>
      <c r="L2890" s="107">
        <f t="shared" si="961"/>
        <v>5.3314039302255836</v>
      </c>
      <c r="M2890" s="90">
        <v>5.3308266174228613</v>
      </c>
    </row>
    <row r="2891" spans="2:13" x14ac:dyDescent="0.2">
      <c r="C2891" t="s">
        <v>8</v>
      </c>
      <c r="E2891" s="53">
        <v>1.3612634558270335E-2</v>
      </c>
      <c r="F2891" s="131">
        <v>1.0890107646616305E-2</v>
      </c>
      <c r="G2891" s="53">
        <v>8.1675807349621942E-3</v>
      </c>
      <c r="H2891" s="131">
        <v>5.4450538233081387E-3</v>
      </c>
      <c r="I2891" s="107">
        <f t="shared" si="959"/>
        <v>2.9947796028194761E-3</v>
      </c>
      <c r="J2891" s="127">
        <v>5.4450538233081396E-4</v>
      </c>
      <c r="K2891" s="107">
        <f t="shared" si="960"/>
        <v>0.39263984270111496</v>
      </c>
      <c r="L2891" s="107">
        <f t="shared" si="961"/>
        <v>0.78473518001989906</v>
      </c>
      <c r="M2891" s="90">
        <v>1.1768305173386833</v>
      </c>
    </row>
    <row r="2892" spans="2:13" x14ac:dyDescent="0.2">
      <c r="C2892" t="s">
        <v>1112</v>
      </c>
      <c r="E2892" s="90">
        <v>2.2361111111111112</v>
      </c>
      <c r="F2892" s="134">
        <v>2.0638705725398419</v>
      </c>
      <c r="G2892" s="90">
        <v>2.164002863543689</v>
      </c>
      <c r="H2892" s="134">
        <v>2.2361111111111112</v>
      </c>
      <c r="I2892" s="107">
        <f t="shared" si="959"/>
        <v>2.2361111111111125</v>
      </c>
      <c r="J2892" s="90">
        <v>2.2361111111111138</v>
      </c>
      <c r="K2892" s="107">
        <f t="shared" si="960"/>
        <v>2.2361111111111129</v>
      </c>
      <c r="L2892" s="107">
        <f t="shared" si="961"/>
        <v>2.236111111111112</v>
      </c>
      <c r="M2892" s="90">
        <v>2.2361111111111112</v>
      </c>
    </row>
    <row r="2893" spans="2:13" x14ac:dyDescent="0.2">
      <c r="C2893" t="s">
        <v>1113</v>
      </c>
      <c r="E2893" s="90">
        <v>0.161</v>
      </c>
      <c r="F2893" s="135">
        <v>0</v>
      </c>
      <c r="G2893" s="136">
        <v>0</v>
      </c>
      <c r="H2893" s="135">
        <v>0</v>
      </c>
      <c r="I2893" s="107">
        <f t="shared" si="959"/>
        <v>0</v>
      </c>
      <c r="J2893" s="136">
        <v>0</v>
      </c>
      <c r="K2893" s="107">
        <f t="shared" si="960"/>
        <v>0</v>
      </c>
      <c r="L2893" s="107">
        <f t="shared" si="961"/>
        <v>0</v>
      </c>
      <c r="M2893" s="136">
        <v>0</v>
      </c>
    </row>
    <row r="2894" spans="2:13" x14ac:dyDescent="0.2">
      <c r="C2894" t="s">
        <v>1117</v>
      </c>
      <c r="E2894" s="136">
        <v>16.029999999999973</v>
      </c>
      <c r="F2894" s="132">
        <v>16.55099999999997</v>
      </c>
      <c r="G2894" s="136">
        <v>18.114874999999973</v>
      </c>
      <c r="H2894" s="132">
        <v>18.268750000000026</v>
      </c>
      <c r="I2894" s="107">
        <f t="shared" si="959"/>
        <v>18.407237500000001</v>
      </c>
      <c r="J2894" s="136">
        <v>18.545724999999972</v>
      </c>
      <c r="K2894" s="107">
        <f t="shared" si="960"/>
        <v>18.555983333333312</v>
      </c>
      <c r="L2894" s="107">
        <f t="shared" si="961"/>
        <v>18.566241666666656</v>
      </c>
      <c r="M2894" s="136">
        <v>18.576499999999999</v>
      </c>
    </row>
    <row r="2895" spans="2:13" x14ac:dyDescent="0.2">
      <c r="C2895" t="s">
        <v>936</v>
      </c>
      <c r="E2895" s="136">
        <v>19.424800000000001</v>
      </c>
      <c r="F2895" s="132">
        <v>18.907</v>
      </c>
      <c r="G2895" s="136">
        <v>19.060874999999999</v>
      </c>
      <c r="H2895" s="132">
        <v>19.214749999999974</v>
      </c>
      <c r="I2895" s="107">
        <f t="shared" si="959"/>
        <v>19.353237499999956</v>
      </c>
      <c r="J2895" s="136">
        <v>19.491724999999942</v>
      </c>
      <c r="K2895" s="107">
        <f t="shared" si="960"/>
        <v>19.501983333333293</v>
      </c>
      <c r="L2895" s="107">
        <f t="shared" si="961"/>
        <v>19.512241666666647</v>
      </c>
      <c r="M2895" s="136">
        <v>19.522500000000001</v>
      </c>
    </row>
    <row r="2896" spans="2:13" x14ac:dyDescent="0.2">
      <c r="C2896" t="s">
        <v>1118</v>
      </c>
      <c r="E2896" s="90">
        <v>1.9952000000000027</v>
      </c>
      <c r="F2896" s="134">
        <v>2.2540779848220942</v>
      </c>
      <c r="G2896" s="90">
        <v>3.0211582862670276</v>
      </c>
      <c r="H2896" s="134">
        <v>3.3036927242845553</v>
      </c>
      <c r="I2896" s="107">
        <f t="shared" si="959"/>
        <v>3.6398687748849858</v>
      </c>
      <c r="J2896" s="90">
        <v>3.9760448254854164</v>
      </c>
      <c r="K2896" s="107">
        <f t="shared" si="960"/>
        <v>3.9077812483963141</v>
      </c>
      <c r="L2896" s="107">
        <f t="shared" si="961"/>
        <v>3.8395176713072123</v>
      </c>
      <c r="M2896" s="90">
        <v>3.771254094218111</v>
      </c>
    </row>
    <row r="2897" spans="2:13" x14ac:dyDescent="0.2">
      <c r="C2897" t="s">
        <v>1111</v>
      </c>
      <c r="E2897" s="90">
        <v>-2.4940000000000002</v>
      </c>
      <c r="F2897" s="134">
        <v>-2.8175974810276112</v>
      </c>
      <c r="G2897" s="90">
        <v>-3.7764478578337775</v>
      </c>
      <c r="H2897" s="134">
        <v>-4.1296159053556947</v>
      </c>
      <c r="I2897" s="107">
        <f t="shared" si="959"/>
        <v>-4.5498359686062502</v>
      </c>
      <c r="J2897" s="90">
        <v>-4.9700560318568057</v>
      </c>
      <c r="K2897" s="107">
        <f t="shared" si="960"/>
        <v>-4.884726560495416</v>
      </c>
      <c r="L2897" s="107">
        <f t="shared" si="961"/>
        <v>-4.7993970891340272</v>
      </c>
      <c r="M2897" s="90">
        <v>-4.7140676177726384</v>
      </c>
    </row>
    <row r="2898" spans="2:13" x14ac:dyDescent="0.2">
      <c r="C2898" t="s">
        <v>0</v>
      </c>
      <c r="E2898" s="136">
        <v>66.833999999999165</v>
      </c>
      <c r="F2898" s="132">
        <v>27.777777777777665</v>
      </c>
      <c r="G2898" s="136">
        <v>27.777777777777779</v>
      </c>
      <c r="H2898" s="132">
        <v>27.777777777777779</v>
      </c>
      <c r="I2898" s="107">
        <f t="shared" si="959"/>
        <v>27.777777777777779</v>
      </c>
      <c r="J2898" s="136">
        <v>27.777777777777779</v>
      </c>
      <c r="K2898" s="107">
        <f t="shared" si="960"/>
        <v>27.777777777777779</v>
      </c>
      <c r="L2898" s="107">
        <f t="shared" si="961"/>
        <v>27.777777777777779</v>
      </c>
      <c r="M2898" s="136">
        <v>27.777777777777779</v>
      </c>
    </row>
    <row r="2899" spans="2:13" x14ac:dyDescent="0.2">
      <c r="C2899" t="s">
        <v>185</v>
      </c>
      <c r="E2899" s="136">
        <v>-66.313000000000272</v>
      </c>
      <c r="F2899" s="132">
        <v>-27.777777777777779</v>
      </c>
      <c r="G2899" s="136">
        <v>-27.77777777777775</v>
      </c>
      <c r="H2899" s="132">
        <v>-27.777777777777779</v>
      </c>
      <c r="I2899" s="107">
        <f t="shared" si="959"/>
        <v>-27.77777777777775</v>
      </c>
      <c r="J2899" s="136">
        <v>-27.777777777777722</v>
      </c>
      <c r="K2899" s="107">
        <f t="shared" si="960"/>
        <v>-27.777777777777739</v>
      </c>
      <c r="L2899" s="107">
        <f t="shared" si="961"/>
        <v>-27.777777777777757</v>
      </c>
      <c r="M2899" s="136">
        <v>-27.777777777777779</v>
      </c>
    </row>
    <row r="2900" spans="2:13" x14ac:dyDescent="0.2">
      <c r="C2900" t="s">
        <v>1071</v>
      </c>
      <c r="E2900" s="19">
        <f>E2898+E2899</f>
        <v>0.52099999999889235</v>
      </c>
      <c r="F2900" s="19">
        <f>F2898+F2899</f>
        <v>-1.1368683772161603E-13</v>
      </c>
      <c r="G2900" s="21">
        <f t="shared" ref="G2900:M2900" si="962">G2898+G2899</f>
        <v>2.8421709430404007E-14</v>
      </c>
      <c r="H2900" s="21">
        <f t="shared" si="962"/>
        <v>0</v>
      </c>
      <c r="I2900" s="107">
        <f t="shared" si="959"/>
        <v>2.8421709430404007E-14</v>
      </c>
      <c r="J2900" s="21">
        <f t="shared" si="962"/>
        <v>5.6843418860808015E-14</v>
      </c>
      <c r="K2900" s="107">
        <f t="shared" si="960"/>
        <v>3.7895612573872008E-14</v>
      </c>
      <c r="L2900" s="107">
        <f t="shared" si="961"/>
        <v>1.8947806286936004E-14</v>
      </c>
      <c r="M2900" s="21">
        <f t="shared" si="962"/>
        <v>0</v>
      </c>
    </row>
    <row r="2901" spans="2:13" x14ac:dyDescent="0.2">
      <c r="C2901" t="s">
        <v>1218</v>
      </c>
      <c r="E2901" s="19">
        <f>E2894+E2895+E2896+E2897</f>
        <v>34.955999999999982</v>
      </c>
      <c r="F2901" s="19">
        <f t="shared" ref="F2901:M2901" si="963">F2894+F2895+F2896+F2897</f>
        <v>34.894480503794455</v>
      </c>
      <c r="G2901" s="19">
        <f t="shared" si="963"/>
        <v>36.420460428433223</v>
      </c>
      <c r="H2901" s="19">
        <f t="shared" si="963"/>
        <v>36.65757681892886</v>
      </c>
      <c r="I2901" s="19">
        <f t="shared" si="963"/>
        <v>36.850507806278692</v>
      </c>
      <c r="J2901" s="19">
        <f t="shared" si="963"/>
        <v>37.043438793628525</v>
      </c>
      <c r="K2901" s="19">
        <f t="shared" si="963"/>
        <v>37.081021354567497</v>
      </c>
      <c r="L2901" s="19">
        <f t="shared" si="963"/>
        <v>37.11860391550649</v>
      </c>
      <c r="M2901" s="19">
        <f t="shared" si="963"/>
        <v>37.15618647644547</v>
      </c>
    </row>
    <row r="2902" spans="2:13" x14ac:dyDescent="0.2">
      <c r="C2902" t="s">
        <v>1222</v>
      </c>
      <c r="E2902" s="19">
        <f>SUM(E2884:E2899)</f>
        <v>64.1471931615024</v>
      </c>
      <c r="F2902" s="19">
        <f t="shared" ref="F2902:M2902" si="964">SUM(F2884:F2899)</f>
        <v>63.498879952144001</v>
      </c>
      <c r="G2902" s="19">
        <f t="shared" si="964"/>
        <v>62.733800865106865</v>
      </c>
      <c r="H2902" s="19">
        <f t="shared" si="964"/>
        <v>62.148391959261652</v>
      </c>
      <c r="I2902" s="19">
        <f t="shared" si="964"/>
        <v>61.69894049558382</v>
      </c>
      <c r="J2902" s="19">
        <f t="shared" si="964"/>
        <v>61.249489031906002</v>
      </c>
      <c r="K2902" s="19">
        <f t="shared" si="964"/>
        <v>62.30021047208902</v>
      </c>
      <c r="L2902" s="19">
        <f t="shared" si="964"/>
        <v>63.35093191227206</v>
      </c>
      <c r="M2902" s="19">
        <f t="shared" si="964"/>
        <v>64.401653352455099</v>
      </c>
    </row>
    <row r="2903" spans="2:13" x14ac:dyDescent="0.2">
      <c r="C2903" s="121"/>
      <c r="E2903" s="122"/>
      <c r="G2903" s="122"/>
      <c r="J2903" s="122"/>
      <c r="M2903" s="122"/>
    </row>
    <row r="2904" spans="2:13" ht="15" x14ac:dyDescent="0.25">
      <c r="B2904" s="2" t="s">
        <v>1140</v>
      </c>
    </row>
    <row r="2905" spans="2:13" ht="15" x14ac:dyDescent="0.25">
      <c r="C2905" s="13" t="s">
        <v>1097</v>
      </c>
      <c r="E2905" s="2">
        <v>2010</v>
      </c>
      <c r="F2905" s="2">
        <v>2015</v>
      </c>
      <c r="G2905" s="2">
        <v>2020</v>
      </c>
      <c r="H2905" s="2">
        <v>2025</v>
      </c>
      <c r="I2905" s="2">
        <v>2030</v>
      </c>
      <c r="J2905" s="2">
        <v>2035</v>
      </c>
      <c r="K2905" s="2">
        <v>2040</v>
      </c>
      <c r="L2905" s="2">
        <v>2045</v>
      </c>
      <c r="M2905" s="2">
        <v>2050</v>
      </c>
    </row>
    <row r="2906" spans="2:13" x14ac:dyDescent="0.2">
      <c r="C2906" t="s">
        <v>1107</v>
      </c>
      <c r="E2906" s="138">
        <v>0</v>
      </c>
      <c r="F2906" s="107">
        <f t="shared" ref="F2906:F2921" si="965">1/2*(E2906+G2906)</f>
        <v>0.36607915463362917</v>
      </c>
      <c r="G2906" s="138">
        <v>0.73215830926725833</v>
      </c>
      <c r="H2906" s="107">
        <f>2/3*G2906+1/3*J2906</f>
        <v>3.69049050788571</v>
      </c>
      <c r="I2906" s="107">
        <f>1/3*G2906+2/3*J2906</f>
        <v>6.648822706504161</v>
      </c>
      <c r="J2906" s="138">
        <v>9.6071549051226128</v>
      </c>
      <c r="K2906" s="107">
        <f>2/3*J2906+1/3*M2906</f>
        <v>10.59742747099498</v>
      </c>
      <c r="L2906" s="107">
        <f>1/3*J2906+2/3*M2906</f>
        <v>11.587700036867348</v>
      </c>
      <c r="M2906" s="138">
        <v>12.577972602739717</v>
      </c>
    </row>
    <row r="2907" spans="2:13" x14ac:dyDescent="0.2">
      <c r="C2907" t="s">
        <v>1108</v>
      </c>
      <c r="E2907" s="138">
        <v>1.1851767243557351E-3</v>
      </c>
      <c r="F2907" s="107">
        <f t="shared" si="965"/>
        <v>5.9258836217786757E-4</v>
      </c>
      <c r="G2907" s="138">
        <v>0</v>
      </c>
      <c r="H2907" s="107">
        <f t="shared" ref="H2907:H2921" si="966">2/3*G2907+1/3*J2907</f>
        <v>0</v>
      </c>
      <c r="I2907" s="107">
        <f t="shared" ref="I2907:I2921" si="967">1/3*G2907+2/3*J2907</f>
        <v>0</v>
      </c>
      <c r="J2907" s="138">
        <v>0</v>
      </c>
      <c r="K2907" s="107">
        <f t="shared" ref="K2907:K2918" si="968">2/3*J2907+1/3*M2907</f>
        <v>0</v>
      </c>
      <c r="L2907" s="107">
        <f t="shared" ref="L2907:L2918" si="969">1/3*J2907+2/3*M2907</f>
        <v>0</v>
      </c>
      <c r="M2907" s="138">
        <v>0</v>
      </c>
    </row>
    <row r="2908" spans="2:13" x14ac:dyDescent="0.2">
      <c r="C2908" t="s">
        <v>1109</v>
      </c>
      <c r="E2908" s="138">
        <v>0.376711430506385</v>
      </c>
      <c r="F2908" s="107">
        <f t="shared" si="965"/>
        <v>0.26948202884261013</v>
      </c>
      <c r="G2908" s="138">
        <v>0.16225262717883529</v>
      </c>
      <c r="H2908" s="107">
        <f t="shared" si="966"/>
        <v>0.10816841811922352</v>
      </c>
      <c r="I2908" s="107">
        <f t="shared" si="967"/>
        <v>5.4084209059611761E-2</v>
      </c>
      <c r="J2908" s="138">
        <v>0</v>
      </c>
      <c r="K2908" s="107">
        <f t="shared" si="968"/>
        <v>0</v>
      </c>
      <c r="L2908" s="107">
        <f t="shared" si="969"/>
        <v>0</v>
      </c>
      <c r="M2908" s="138">
        <v>0</v>
      </c>
    </row>
    <row r="2909" spans="2:13" x14ac:dyDescent="0.2">
      <c r="C2909" t="s">
        <v>935</v>
      </c>
      <c r="E2909" s="138">
        <v>14.331095999999999</v>
      </c>
      <c r="F2909" s="107">
        <f t="shared" si="965"/>
        <v>13.365734399999999</v>
      </c>
      <c r="G2909" s="138">
        <v>12.4003728</v>
      </c>
      <c r="H2909" s="107">
        <f t="shared" si="966"/>
        <v>8.992815199999999</v>
      </c>
      <c r="I2909" s="107">
        <f t="shared" si="967"/>
        <v>5.5852575999999994</v>
      </c>
      <c r="J2909" s="138">
        <v>2.1776999999999997</v>
      </c>
      <c r="K2909" s="107">
        <f t="shared" si="968"/>
        <v>1.4517999999999998</v>
      </c>
      <c r="L2909" s="107">
        <f t="shared" si="969"/>
        <v>0.72589999999999988</v>
      </c>
      <c r="M2909" s="138">
        <v>0</v>
      </c>
    </row>
    <row r="2910" spans="2:13" x14ac:dyDescent="0.2">
      <c r="C2910" t="s">
        <v>1110</v>
      </c>
      <c r="E2910" s="138">
        <v>2.8264283183101896E-2</v>
      </c>
      <c r="F2910" s="107">
        <f t="shared" si="965"/>
        <v>1.4132141591550948E-2</v>
      </c>
      <c r="G2910" s="138">
        <v>0</v>
      </c>
      <c r="H2910" s="107">
        <f t="shared" si="966"/>
        <v>0</v>
      </c>
      <c r="I2910" s="107">
        <f t="shared" si="967"/>
        <v>0</v>
      </c>
      <c r="J2910" s="138">
        <v>0</v>
      </c>
      <c r="K2910" s="107">
        <f t="shared" si="968"/>
        <v>0</v>
      </c>
      <c r="L2910" s="107">
        <f t="shared" si="969"/>
        <v>0</v>
      </c>
      <c r="M2910" s="138">
        <v>0</v>
      </c>
    </row>
    <row r="2911" spans="2:13" x14ac:dyDescent="0.2">
      <c r="C2911" t="s">
        <v>1034</v>
      </c>
      <c r="E2911" s="138">
        <v>0</v>
      </c>
      <c r="F2911" s="107">
        <f t="shared" si="965"/>
        <v>0</v>
      </c>
      <c r="G2911" s="138">
        <v>0</v>
      </c>
      <c r="H2911" s="107">
        <f t="shared" si="966"/>
        <v>0</v>
      </c>
      <c r="I2911" s="107">
        <f t="shared" si="967"/>
        <v>0</v>
      </c>
      <c r="J2911" s="138">
        <v>0</v>
      </c>
      <c r="K2911" s="107">
        <f t="shared" si="968"/>
        <v>0</v>
      </c>
      <c r="L2911" s="107">
        <f t="shared" si="969"/>
        <v>0</v>
      </c>
      <c r="M2911" s="138">
        <v>0</v>
      </c>
    </row>
    <row r="2912" spans="2:13" x14ac:dyDescent="0.2">
      <c r="C2912" t="s">
        <v>7</v>
      </c>
      <c r="E2912" s="138">
        <v>1.5883708582587249E-2</v>
      </c>
      <c r="F2912" s="107">
        <f t="shared" si="965"/>
        <v>1.2706966866069803E-2</v>
      </c>
      <c r="G2912" s="138">
        <v>9.5302251495523564E-3</v>
      </c>
      <c r="H2912" s="107">
        <f t="shared" si="966"/>
        <v>0.6584229080837406</v>
      </c>
      <c r="I2912" s="107">
        <f t="shared" si="967"/>
        <v>1.3073155910179288</v>
      </c>
      <c r="J2912" s="138">
        <v>1.9562082739521172</v>
      </c>
      <c r="K2912" s="107">
        <f t="shared" si="968"/>
        <v>1.9559964911710159</v>
      </c>
      <c r="L2912" s="107">
        <f t="shared" si="969"/>
        <v>1.9557847083899147</v>
      </c>
      <c r="M2912" s="138">
        <v>1.9555729256088137</v>
      </c>
    </row>
    <row r="2913" spans="2:13" x14ac:dyDescent="0.2">
      <c r="C2913" t="s">
        <v>8</v>
      </c>
      <c r="E2913" s="138">
        <v>7.6807291923078665E-3</v>
      </c>
      <c r="F2913" s="107">
        <f t="shared" si="965"/>
        <v>6.1445833538462929E-3</v>
      </c>
      <c r="G2913" s="138">
        <v>4.6084375153847192E-3</v>
      </c>
      <c r="H2913" s="107">
        <f t="shared" si="966"/>
        <v>3.1747013994872508E-3</v>
      </c>
      <c r="I2913" s="107">
        <f t="shared" si="967"/>
        <v>1.7409652835897831E-3</v>
      </c>
      <c r="J2913" s="138">
        <v>3.0722916769231501E-4</v>
      </c>
      <c r="K2913" s="107">
        <f t="shared" si="968"/>
        <v>0.23039159500232992</v>
      </c>
      <c r="L2913" s="107">
        <f t="shared" si="969"/>
        <v>0.46047596083696751</v>
      </c>
      <c r="M2913" s="138">
        <v>0.69056032667160516</v>
      </c>
    </row>
    <row r="2914" spans="2:13" x14ac:dyDescent="0.2">
      <c r="C2914" t="s">
        <v>1112</v>
      </c>
      <c r="E2914" s="138">
        <v>1.5159772124186672</v>
      </c>
      <c r="F2914" s="107">
        <f t="shared" si="965"/>
        <v>1.3812010833861201</v>
      </c>
      <c r="G2914" s="138">
        <v>1.246424954353573</v>
      </c>
      <c r="H2914" s="107">
        <f t="shared" si="966"/>
        <v>1.2109965190337206</v>
      </c>
      <c r="I2914" s="107">
        <f t="shared" si="967"/>
        <v>1.1755680837138682</v>
      </c>
      <c r="J2914" s="138">
        <v>1.1401396483940158</v>
      </c>
      <c r="K2914" s="107">
        <f t="shared" si="968"/>
        <v>1.1337993394164068</v>
      </c>
      <c r="L2914" s="107">
        <f t="shared" si="969"/>
        <v>1.1274590304387977</v>
      </c>
      <c r="M2914" s="138">
        <v>1.1211187214611886</v>
      </c>
    </row>
    <row r="2915" spans="2:13" x14ac:dyDescent="0.2">
      <c r="C2915" t="s">
        <v>1113</v>
      </c>
      <c r="E2915" s="138">
        <v>3.2797131353799712E-2</v>
      </c>
      <c r="F2915" s="107">
        <f t="shared" si="965"/>
        <v>1.6398565676899856E-2</v>
      </c>
      <c r="G2915" s="138">
        <v>0</v>
      </c>
      <c r="H2915" s="107">
        <f t="shared" si="966"/>
        <v>0</v>
      </c>
      <c r="I2915" s="107">
        <f t="shared" si="967"/>
        <v>0</v>
      </c>
      <c r="J2915" s="138">
        <v>0</v>
      </c>
      <c r="K2915" s="107">
        <f t="shared" si="968"/>
        <v>0</v>
      </c>
      <c r="L2915" s="107">
        <f t="shared" si="969"/>
        <v>0</v>
      </c>
      <c r="M2915" s="138">
        <v>0</v>
      </c>
    </row>
    <row r="2916" spans="2:13" x14ac:dyDescent="0.2">
      <c r="C2916" t="s">
        <v>1117</v>
      </c>
      <c r="E2916" s="138">
        <v>7.7025250200974984</v>
      </c>
      <c r="F2916" s="107">
        <f t="shared" si="965"/>
        <v>8.1513385954095341</v>
      </c>
      <c r="G2916" s="138">
        <v>8.6001521707215716</v>
      </c>
      <c r="H2916" s="107">
        <f t="shared" si="966"/>
        <v>8.4075666601262284</v>
      </c>
      <c r="I2916" s="107">
        <f t="shared" si="967"/>
        <v>8.2149811495308835</v>
      </c>
      <c r="J2916" s="138">
        <v>8.0223956389355404</v>
      </c>
      <c r="K2916" s="107">
        <f t="shared" si="968"/>
        <v>8.0698614490006655</v>
      </c>
      <c r="L2916" s="107">
        <f t="shared" si="969"/>
        <v>8.1173272590657923</v>
      </c>
      <c r="M2916" s="138">
        <v>8.1647930691309192</v>
      </c>
    </row>
    <row r="2917" spans="2:13" x14ac:dyDescent="0.2">
      <c r="C2917" t="s">
        <v>936</v>
      </c>
      <c r="E2917" s="138">
        <v>9.4288227154713091</v>
      </c>
      <c r="F2917" s="107">
        <f t="shared" si="965"/>
        <v>9.3823851519791717</v>
      </c>
      <c r="G2917" s="138">
        <v>9.3359475884870324</v>
      </c>
      <c r="H2917" s="107">
        <f t="shared" si="966"/>
        <v>9.3732302772674743</v>
      </c>
      <c r="I2917" s="107">
        <f t="shared" si="967"/>
        <v>9.4105129660479143</v>
      </c>
      <c r="J2917" s="138">
        <v>9.4477956548283561</v>
      </c>
      <c r="K2917" s="107">
        <f t="shared" si="968"/>
        <v>9.4424319307677091</v>
      </c>
      <c r="L2917" s="107">
        <f t="shared" si="969"/>
        <v>9.4370682067070639</v>
      </c>
      <c r="M2917" s="138">
        <v>9.4317044826464169</v>
      </c>
    </row>
    <row r="2918" spans="2:13" x14ac:dyDescent="0.2">
      <c r="C2918" t="s">
        <v>1118</v>
      </c>
      <c r="E2918" s="138">
        <v>1.026162257324613</v>
      </c>
      <c r="F2918" s="107">
        <f t="shared" si="965"/>
        <v>1.2543701685753006</v>
      </c>
      <c r="G2918" s="138">
        <v>1.482578079825988</v>
      </c>
      <c r="H2918" s="107">
        <f t="shared" si="966"/>
        <v>1.6547631544183821</v>
      </c>
      <c r="I2918" s="107">
        <f t="shared" si="967"/>
        <v>1.8269482290107764</v>
      </c>
      <c r="J2918" s="138">
        <v>1.9991333036031707</v>
      </c>
      <c r="K2918" s="107">
        <f t="shared" si="968"/>
        <v>1.9207083610430684</v>
      </c>
      <c r="L2918" s="107">
        <f t="shared" si="969"/>
        <v>1.8422834184829662</v>
      </c>
      <c r="M2918" s="138">
        <v>1.7638584759228644</v>
      </c>
    </row>
    <row r="2919" spans="2:13" x14ac:dyDescent="0.2">
      <c r="C2919" t="s">
        <v>1111</v>
      </c>
      <c r="F2919" s="107">
        <f t="shared" si="965"/>
        <v>0</v>
      </c>
      <c r="H2919" s="107"/>
      <c r="I2919" s="107"/>
      <c r="K2919" s="107"/>
      <c r="L2919" s="107"/>
    </row>
    <row r="2920" spans="2:13" x14ac:dyDescent="0.2">
      <c r="C2920" t="s">
        <v>0</v>
      </c>
      <c r="E2920" s="138">
        <v>32.802385892969291</v>
      </c>
      <c r="F2920" s="107">
        <f t="shared" si="965"/>
        <v>23.5128868224256</v>
      </c>
      <c r="G2920" s="138">
        <v>14.223387751881909</v>
      </c>
      <c r="H2920" s="107">
        <f t="shared" si="966"/>
        <v>14.109522535767082</v>
      </c>
      <c r="I2920" s="107">
        <f t="shared" si="967"/>
        <v>13.995657319652256</v>
      </c>
      <c r="J2920" s="138">
        <v>13.88179210353743</v>
      </c>
      <c r="K2920" s="107">
        <f t="shared" ref="K2920:K2922" si="970">2/3*J2920+1/3*M2920</f>
        <v>14.051170987527893</v>
      </c>
      <c r="L2920" s="107">
        <f t="shared" ref="L2920:L2922" si="971">1/3*J2920+2/3*M2920</f>
        <v>14.220549871518356</v>
      </c>
      <c r="M2920" s="138">
        <v>14.389928755508819</v>
      </c>
    </row>
    <row r="2921" spans="2:13" x14ac:dyDescent="0.2">
      <c r="C2921" t="s">
        <v>185</v>
      </c>
      <c r="E2921" s="138">
        <v>-31.2517845357503</v>
      </c>
      <c r="F2921" s="107">
        <f t="shared" si="965"/>
        <v>-21.786460283323649</v>
      </c>
      <c r="G2921" s="138">
        <v>-12.321136030897</v>
      </c>
      <c r="H2921" s="107">
        <f t="shared" si="966"/>
        <v>-12.386106939289565</v>
      </c>
      <c r="I2921" s="107">
        <f t="shared" si="967"/>
        <v>-12.451077847682132</v>
      </c>
      <c r="J2921" s="138">
        <v>-12.516048756074699</v>
      </c>
      <c r="K2921" s="107">
        <f t="shared" si="970"/>
        <v>-12.665209213354332</v>
      </c>
      <c r="L2921" s="107">
        <f t="shared" si="971"/>
        <v>-12.814369670633965</v>
      </c>
      <c r="M2921" s="138">
        <v>-12.9635301279136</v>
      </c>
    </row>
    <row r="2922" spans="2:13" x14ac:dyDescent="0.2">
      <c r="C2922" t="s">
        <v>1071</v>
      </c>
      <c r="E2922" s="19">
        <f>E2920+E2921</f>
        <v>1.5506013572189907</v>
      </c>
      <c r="F2922" s="107">
        <f>1/2*(E2922+G2922)</f>
        <v>1.7264265391019498</v>
      </c>
      <c r="G2922" s="19">
        <f t="shared" ref="G2922:M2922" si="972">G2920+G2921</f>
        <v>1.9022517209849088</v>
      </c>
      <c r="H2922" s="107">
        <f t="shared" ref="H2922" si="973">2/3*G2922+1/3*J2922</f>
        <v>1.723415596477516</v>
      </c>
      <c r="I2922" s="107">
        <f t="shared" ref="I2922" si="974">1/3*G2922+2/3*J2922</f>
        <v>1.5445794719701234</v>
      </c>
      <c r="J2922" s="19">
        <f t="shared" si="972"/>
        <v>1.3657433474627307</v>
      </c>
      <c r="K2922" s="107">
        <f t="shared" si="970"/>
        <v>1.3859617741735601</v>
      </c>
      <c r="L2922" s="107">
        <f t="shared" si="971"/>
        <v>1.4061802008843896</v>
      </c>
      <c r="M2922" s="19">
        <f t="shared" si="972"/>
        <v>1.4263986275952192</v>
      </c>
    </row>
    <row r="2923" spans="2:13" x14ac:dyDescent="0.2">
      <c r="C2923" t="s">
        <v>1218</v>
      </c>
      <c r="E2923" s="19">
        <f>E2916+E2917+E2918+E2919</f>
        <v>18.157509992893424</v>
      </c>
      <c r="F2923" s="19">
        <f t="shared" ref="F2923:M2923" si="975">F2916+F2917+F2918+F2919</f>
        <v>18.788093915964005</v>
      </c>
      <c r="G2923" s="19">
        <f t="shared" si="975"/>
        <v>19.41867783903459</v>
      </c>
      <c r="H2923" s="19">
        <f t="shared" si="975"/>
        <v>19.435560091812086</v>
      </c>
      <c r="I2923" s="19">
        <f t="shared" si="975"/>
        <v>19.452442344589571</v>
      </c>
      <c r="J2923" s="19">
        <f t="shared" si="975"/>
        <v>19.469324597367066</v>
      </c>
      <c r="K2923" s="19">
        <f t="shared" si="975"/>
        <v>19.433001740811441</v>
      </c>
      <c r="L2923" s="19">
        <f t="shared" si="975"/>
        <v>19.396678884255824</v>
      </c>
      <c r="M2923" s="19">
        <f t="shared" si="975"/>
        <v>19.360356027700199</v>
      </c>
    </row>
    <row r="2924" spans="2:13" x14ac:dyDescent="0.2">
      <c r="C2924" t="s">
        <v>1222</v>
      </c>
      <c r="E2924" s="19">
        <f>SUM(E2906:E2921)</f>
        <v>36.017707022073623</v>
      </c>
      <c r="F2924" s="19">
        <f t="shared" ref="F2924:M2924" si="976">SUM(F2906:F2921)</f>
        <v>35.946991967778857</v>
      </c>
      <c r="G2924" s="19">
        <f t="shared" si="976"/>
        <v>35.876276913484105</v>
      </c>
      <c r="H2924" s="19">
        <f t="shared" si="976"/>
        <v>35.823043942811481</v>
      </c>
      <c r="I2924" s="19">
        <f t="shared" si="976"/>
        <v>35.769810972138856</v>
      </c>
      <c r="J2924" s="19">
        <f t="shared" si="976"/>
        <v>35.716578001466232</v>
      </c>
      <c r="K2924" s="19">
        <f t="shared" si="976"/>
        <v>36.188378411569744</v>
      </c>
      <c r="L2924" s="19">
        <f t="shared" si="976"/>
        <v>36.660178821673242</v>
      </c>
      <c r="M2924" s="19">
        <f t="shared" si="976"/>
        <v>37.131979231776747</v>
      </c>
    </row>
    <row r="2925" spans="2:13" x14ac:dyDescent="0.2">
      <c r="C2925" s="137"/>
      <c r="D2925" s="138"/>
      <c r="E2925" s="138"/>
      <c r="F2925" s="138"/>
      <c r="G2925" s="138"/>
    </row>
    <row r="2926" spans="2:13" ht="15" x14ac:dyDescent="0.25">
      <c r="B2926" s="2" t="s">
        <v>1141</v>
      </c>
    </row>
    <row r="2927" spans="2:13" ht="15" x14ac:dyDescent="0.25">
      <c r="C2927" s="13" t="s">
        <v>1097</v>
      </c>
      <c r="E2927" s="2">
        <v>2010</v>
      </c>
      <c r="F2927" s="2">
        <v>2015</v>
      </c>
      <c r="G2927" s="2">
        <v>2020</v>
      </c>
      <c r="H2927" s="2">
        <v>2025</v>
      </c>
      <c r="I2927" s="2">
        <v>2030</v>
      </c>
      <c r="J2927" s="2">
        <v>2035</v>
      </c>
      <c r="K2927" s="2">
        <v>2040</v>
      </c>
      <c r="L2927" s="2">
        <v>2045</v>
      </c>
      <c r="M2927" s="2">
        <v>2050</v>
      </c>
    </row>
    <row r="2928" spans="2:13" x14ac:dyDescent="0.2">
      <c r="C2928" t="s">
        <v>1107</v>
      </c>
      <c r="E2928" s="138">
        <v>0</v>
      </c>
      <c r="F2928" s="129">
        <f t="shared" ref="F2928:F2943" si="977">1/2*(E2928+G2928)</f>
        <v>0</v>
      </c>
      <c r="G2928" s="138">
        <v>0</v>
      </c>
      <c r="H2928" s="129">
        <f>2/3*G2928+1/3*J2928</f>
        <v>1.0397548313878977</v>
      </c>
      <c r="I2928" s="129">
        <f>1/3*G2928+2/3*J2928</f>
        <v>2.0795096627757954</v>
      </c>
      <c r="J2928" s="138">
        <v>3.1192644941636933</v>
      </c>
      <c r="K2928" s="129">
        <f>2/3*J2928+1/3*M2928</f>
        <v>4.0540850052415447</v>
      </c>
      <c r="L2928" s="129">
        <f>1/3*J2928+2/3*M2928</f>
        <v>4.988905516319396</v>
      </c>
      <c r="M2928" s="138">
        <v>5.9237260273972483</v>
      </c>
    </row>
    <row r="2929" spans="3:13" x14ac:dyDescent="0.2">
      <c r="C2929" t="s">
        <v>1108</v>
      </c>
      <c r="E2929" s="138">
        <v>9.8991015111640161E-4</v>
      </c>
      <c r="F2929" s="129">
        <f t="shared" si="977"/>
        <v>4.949550755582008E-4</v>
      </c>
      <c r="G2929" s="138">
        <v>0</v>
      </c>
      <c r="H2929" s="129">
        <f t="shared" ref="H2929:H2940" si="978">2/3*G2929+1/3*J2929</f>
        <v>0</v>
      </c>
      <c r="I2929" s="129">
        <f t="shared" ref="I2929:I2940" si="979">1/3*G2929+2/3*J2929</f>
        <v>0</v>
      </c>
      <c r="J2929" s="138">
        <v>0</v>
      </c>
      <c r="K2929" s="129">
        <f t="shared" ref="K2929:K2940" si="980">2/3*J2929+1/3*M2929</f>
        <v>0</v>
      </c>
      <c r="L2929" s="129">
        <f t="shared" ref="L2929:L2940" si="981">1/3*J2929+2/3*M2929</f>
        <v>0</v>
      </c>
      <c r="M2929" s="138">
        <v>0</v>
      </c>
    </row>
    <row r="2930" spans="3:13" x14ac:dyDescent="0.2">
      <c r="C2930" t="s">
        <v>1109</v>
      </c>
      <c r="E2930" s="138">
        <v>0.52511856949361446</v>
      </c>
      <c r="F2930" s="129">
        <f t="shared" si="977"/>
        <v>0.4558492746600375</v>
      </c>
      <c r="G2930" s="138">
        <v>0.38657997982646053</v>
      </c>
      <c r="H2930" s="129">
        <f t="shared" si="978"/>
        <v>0.25771998655097367</v>
      </c>
      <c r="I2930" s="129">
        <f t="shared" si="979"/>
        <v>0.12885999327548683</v>
      </c>
      <c r="J2930" s="138">
        <v>0</v>
      </c>
      <c r="K2930" s="129">
        <f t="shared" si="980"/>
        <v>0</v>
      </c>
      <c r="L2930" s="129">
        <f t="shared" si="981"/>
        <v>0</v>
      </c>
      <c r="M2930" s="138">
        <v>0</v>
      </c>
    </row>
    <row r="2931" spans="3:13" x14ac:dyDescent="0.2">
      <c r="C2931" t="s">
        <v>935</v>
      </c>
      <c r="E2931" s="138">
        <v>10.874104000000026</v>
      </c>
      <c r="F2931" s="129">
        <f t="shared" si="977"/>
        <v>10.653965600000028</v>
      </c>
      <c r="G2931" s="138">
        <v>10.433827200000028</v>
      </c>
      <c r="H2931" s="129">
        <f t="shared" si="978"/>
        <v>7.5334570222222421</v>
      </c>
      <c r="I2931" s="129">
        <f t="shared" si="979"/>
        <v>4.633086844444458</v>
      </c>
      <c r="J2931" s="138">
        <v>1.7327166666666725</v>
      </c>
      <c r="K2931" s="129">
        <f t="shared" si="980"/>
        <v>1.1551444444444483</v>
      </c>
      <c r="L2931" s="129">
        <f t="shared" si="981"/>
        <v>0.57757222222222415</v>
      </c>
      <c r="M2931" s="138">
        <v>0</v>
      </c>
    </row>
    <row r="2932" spans="3:13" x14ac:dyDescent="0.2">
      <c r="C2932" t="s">
        <v>1110</v>
      </c>
      <c r="E2932" s="138">
        <v>7.8701585571619409E-2</v>
      </c>
      <c r="F2932" s="129">
        <f t="shared" si="977"/>
        <v>3.9350792785809705E-2</v>
      </c>
      <c r="G2932" s="138">
        <v>0</v>
      </c>
      <c r="H2932" s="129">
        <f t="shared" si="978"/>
        <v>0</v>
      </c>
      <c r="I2932" s="129">
        <f t="shared" si="979"/>
        <v>0</v>
      </c>
      <c r="J2932" s="138">
        <v>0</v>
      </c>
      <c r="K2932" s="129">
        <f t="shared" si="980"/>
        <v>0</v>
      </c>
      <c r="L2932" s="129">
        <f t="shared" si="981"/>
        <v>0</v>
      </c>
      <c r="M2932" s="138">
        <v>0</v>
      </c>
    </row>
    <row r="2933" spans="3:13" x14ac:dyDescent="0.2">
      <c r="C2933" t="s">
        <v>1034</v>
      </c>
      <c r="E2933" s="138">
        <v>0</v>
      </c>
      <c r="F2933" s="129">
        <f t="shared" si="977"/>
        <v>0</v>
      </c>
      <c r="G2933" s="138">
        <v>0</v>
      </c>
      <c r="H2933" s="129">
        <f t="shared" si="978"/>
        <v>0</v>
      </c>
      <c r="I2933" s="129">
        <f t="shared" si="979"/>
        <v>0</v>
      </c>
      <c r="J2933" s="138">
        <v>0</v>
      </c>
      <c r="K2933" s="129">
        <f t="shared" si="980"/>
        <v>0</v>
      </c>
      <c r="L2933" s="129">
        <f t="shared" si="981"/>
        <v>0</v>
      </c>
      <c r="M2933" s="138">
        <v>0</v>
      </c>
    </row>
    <row r="2934" spans="3:13" x14ac:dyDescent="0.2">
      <c r="C2934" t="s">
        <v>7</v>
      </c>
      <c r="E2934" s="138">
        <v>2.7414751621387672E-2</v>
      </c>
      <c r="F2934" s="129">
        <f t="shared" si="977"/>
        <v>2.1931801297110136E-2</v>
      </c>
      <c r="G2934" s="138">
        <v>1.64488509728326E-2</v>
      </c>
      <c r="H2934" s="129">
        <f t="shared" si="978"/>
        <v>1.1364159946081873</v>
      </c>
      <c r="I2934" s="129">
        <f t="shared" si="979"/>
        <v>2.2563831382435424</v>
      </c>
      <c r="J2934" s="138">
        <v>3.3763502818788971</v>
      </c>
      <c r="K2934" s="129">
        <f t="shared" si="980"/>
        <v>3.3759847518572785</v>
      </c>
      <c r="L2934" s="129">
        <f t="shared" si="981"/>
        <v>3.3756192218356604</v>
      </c>
      <c r="M2934" s="138">
        <v>3.3752536918140423</v>
      </c>
    </row>
    <row r="2935" spans="3:13" x14ac:dyDescent="0.2">
      <c r="C2935" t="s">
        <v>8</v>
      </c>
      <c r="E2935" s="138">
        <v>5.931905365962456E-3</v>
      </c>
      <c r="F2935" s="129">
        <f t="shared" si="977"/>
        <v>4.7455242927699655E-3</v>
      </c>
      <c r="G2935" s="138">
        <v>3.5591432195774741E-3</v>
      </c>
      <c r="H2935" s="129">
        <f t="shared" si="978"/>
        <v>2.4518542179311491E-3</v>
      </c>
      <c r="I2935" s="129">
        <f t="shared" si="979"/>
        <v>1.3445652162848239E-3</v>
      </c>
      <c r="J2935" s="138">
        <v>2.3727621463849873E-4</v>
      </c>
      <c r="K2935" s="129">
        <f t="shared" si="980"/>
        <v>0.1622482476987851</v>
      </c>
      <c r="L2935" s="129">
        <f t="shared" si="981"/>
        <v>0.32425921918293171</v>
      </c>
      <c r="M2935" s="138">
        <v>0.48627019066707838</v>
      </c>
    </row>
    <row r="2936" spans="3:13" x14ac:dyDescent="0.2">
      <c r="C2936" t="s">
        <v>1112</v>
      </c>
      <c r="E2936" s="138">
        <v>0.7201338986924456</v>
      </c>
      <c r="F2936" s="129">
        <f t="shared" si="977"/>
        <v>0.81885590394128038</v>
      </c>
      <c r="G2936" s="138">
        <v>0.91757790919011528</v>
      </c>
      <c r="H2936" s="129">
        <f t="shared" si="978"/>
        <v>0.97704242703244171</v>
      </c>
      <c r="I2936" s="129">
        <f t="shared" si="979"/>
        <v>1.0365069448747684</v>
      </c>
      <c r="J2936" s="138">
        <v>1.0959714627170949</v>
      </c>
      <c r="K2936" s="129">
        <f t="shared" si="980"/>
        <v>1.1023117716947055</v>
      </c>
      <c r="L2936" s="129">
        <f t="shared" si="981"/>
        <v>1.1086520806723164</v>
      </c>
      <c r="M2936" s="138">
        <v>1.1149923896499272</v>
      </c>
    </row>
    <row r="2937" spans="3:13" x14ac:dyDescent="0.2">
      <c r="C2937" t="s">
        <v>1113</v>
      </c>
      <c r="E2937" s="138">
        <v>0.12820286864620023</v>
      </c>
      <c r="F2937" s="129">
        <f t="shared" si="977"/>
        <v>6.4101434323100115E-2</v>
      </c>
      <c r="G2937" s="138">
        <v>0</v>
      </c>
      <c r="H2937" s="129">
        <f t="shared" si="978"/>
        <v>0</v>
      </c>
      <c r="I2937" s="129">
        <f t="shared" si="979"/>
        <v>0</v>
      </c>
      <c r="J2937" s="138">
        <v>0</v>
      </c>
      <c r="K2937" s="129">
        <f t="shared" si="980"/>
        <v>0</v>
      </c>
      <c r="L2937" s="129">
        <f t="shared" si="981"/>
        <v>0</v>
      </c>
      <c r="M2937" s="138">
        <v>0</v>
      </c>
    </row>
    <row r="2938" spans="3:13" x14ac:dyDescent="0.2">
      <c r="C2938" t="s">
        <v>1117</v>
      </c>
      <c r="E2938" s="138">
        <v>8.3274749799024708</v>
      </c>
      <c r="F2938" s="129">
        <f t="shared" si="977"/>
        <v>8.9210989045904352</v>
      </c>
      <c r="G2938" s="138">
        <v>9.5147228292783996</v>
      </c>
      <c r="H2938" s="129">
        <f t="shared" si="978"/>
        <v>9.850925006540411</v>
      </c>
      <c r="I2938" s="129">
        <f t="shared" si="979"/>
        <v>10.187127183802422</v>
      </c>
      <c r="J2938" s="138">
        <v>10.523329361064434</v>
      </c>
      <c r="K2938" s="129">
        <f t="shared" si="980"/>
        <v>10.486121884332649</v>
      </c>
      <c r="L2938" s="129">
        <f t="shared" si="981"/>
        <v>10.448914407600864</v>
      </c>
      <c r="M2938" s="138">
        <v>10.41170693086908</v>
      </c>
    </row>
    <row r="2939" spans="3:13" x14ac:dyDescent="0.2">
      <c r="C2939" t="s">
        <v>936</v>
      </c>
      <c r="E2939" s="138">
        <v>9.9959772845287027</v>
      </c>
      <c r="F2939" s="129">
        <f t="shared" si="977"/>
        <v>9.8604523480208428</v>
      </c>
      <c r="G2939" s="138">
        <v>9.7249274115129829</v>
      </c>
      <c r="H2939" s="129">
        <f t="shared" si="978"/>
        <v>9.8312613893991845</v>
      </c>
      <c r="I2939" s="129">
        <f t="shared" si="979"/>
        <v>9.9375953672853861</v>
      </c>
      <c r="J2939" s="138">
        <v>10.043929345171588</v>
      </c>
      <c r="K2939" s="129">
        <f t="shared" si="980"/>
        <v>10.059551402565596</v>
      </c>
      <c r="L2939" s="129">
        <f t="shared" si="981"/>
        <v>10.075173459959604</v>
      </c>
      <c r="M2939" s="138">
        <v>10.090795517353612</v>
      </c>
    </row>
    <row r="2940" spans="3:13" x14ac:dyDescent="0.2">
      <c r="C2940" t="s">
        <v>1118</v>
      </c>
      <c r="E2940" s="138">
        <v>0.96903774267538811</v>
      </c>
      <c r="F2940" s="129">
        <f t="shared" si="977"/>
        <v>1.2538089745582111</v>
      </c>
      <c r="G2940" s="138">
        <v>1.5385802064410341</v>
      </c>
      <c r="H2940" s="129">
        <f t="shared" si="978"/>
        <v>1.6846906449214414</v>
      </c>
      <c r="I2940" s="129">
        <f t="shared" si="979"/>
        <v>1.8308010834018489</v>
      </c>
      <c r="J2940" s="138">
        <v>1.9769115218822566</v>
      </c>
      <c r="K2940" s="129">
        <f t="shared" si="980"/>
        <v>1.9870728873532526</v>
      </c>
      <c r="L2940" s="129">
        <f t="shared" si="981"/>
        <v>1.997234252824249</v>
      </c>
      <c r="M2940" s="138">
        <v>2.0073956182952455</v>
      </c>
    </row>
    <row r="2941" spans="3:13" x14ac:dyDescent="0.2">
      <c r="C2941" t="s">
        <v>1111</v>
      </c>
      <c r="F2941" s="129">
        <f t="shared" si="977"/>
        <v>0</v>
      </c>
      <c r="H2941" s="129"/>
      <c r="I2941" s="129"/>
      <c r="K2941" s="129"/>
      <c r="L2941" s="129"/>
    </row>
    <row r="2942" spans="3:13" x14ac:dyDescent="0.2">
      <c r="C2942" t="s">
        <v>0</v>
      </c>
      <c r="E2942" s="138">
        <v>34.031614107030819</v>
      </c>
      <c r="F2942" s="129">
        <f t="shared" si="977"/>
        <v>23.793002066463341</v>
      </c>
      <c r="G2942" s="138">
        <v>13.554390025895865</v>
      </c>
      <c r="H2942" s="129">
        <f t="shared" ref="H2942:H2944" si="982">2/3*G2942+1/3*J2942</f>
        <v>13.668255242010725</v>
      </c>
      <c r="I2942" s="129">
        <f t="shared" ref="I2942:I2944" si="983">1/3*G2942+2/3*J2942</f>
        <v>13.782120458125585</v>
      </c>
      <c r="J2942" s="138">
        <v>13.895985674240444</v>
      </c>
      <c r="K2942" s="129">
        <f t="shared" ref="K2942:K2944" si="984">2/3*J2942+1/3*M2942</f>
        <v>13.726606790249971</v>
      </c>
      <c r="L2942" s="129">
        <f t="shared" ref="L2942:L2944" si="985">1/3*J2942+2/3*M2942</f>
        <v>13.557227906259497</v>
      </c>
      <c r="M2942" s="138">
        <v>13.387849022269023</v>
      </c>
    </row>
    <row r="2943" spans="3:13" x14ac:dyDescent="0.2">
      <c r="C2943" t="s">
        <v>185</v>
      </c>
      <c r="E2943" s="138">
        <v>-35.061215464249599</v>
      </c>
      <c r="F2943" s="129">
        <f t="shared" si="977"/>
        <v>-25.258928605565149</v>
      </c>
      <c r="G2943" s="138">
        <v>-15.456641746880701</v>
      </c>
      <c r="H2943" s="129">
        <f t="shared" si="982"/>
        <v>-15.391670838488167</v>
      </c>
      <c r="I2943" s="129">
        <f t="shared" si="983"/>
        <v>-15.326699930095634</v>
      </c>
      <c r="J2943" s="138">
        <v>-15.261729021703101</v>
      </c>
      <c r="K2943" s="129">
        <f t="shared" si="984"/>
        <v>-15.112568564423466</v>
      </c>
      <c r="L2943" s="129">
        <f t="shared" si="985"/>
        <v>-14.963408107143833</v>
      </c>
      <c r="M2943" s="138">
        <v>-14.8142476498642</v>
      </c>
    </row>
    <row r="2944" spans="3:13" x14ac:dyDescent="0.2">
      <c r="C2944" t="s">
        <v>1071</v>
      </c>
      <c r="E2944" s="19">
        <f>E2942+E2943</f>
        <v>-1.0296013572187803</v>
      </c>
      <c r="F2944" s="129">
        <f>1/2*(E2944+G2944)</f>
        <v>-1.4659265391018081</v>
      </c>
      <c r="G2944" s="19">
        <f t="shared" ref="G2944" si="986">G2942+G2943</f>
        <v>-1.902251720984836</v>
      </c>
      <c r="H2944" s="129">
        <f t="shared" si="982"/>
        <v>-1.7234155964774427</v>
      </c>
      <c r="I2944" s="129">
        <f t="shared" si="983"/>
        <v>-1.5445794719700494</v>
      </c>
      <c r="J2944" s="19">
        <f t="shared" ref="J2944" si="987">J2942+J2943</f>
        <v>-1.3657433474626561</v>
      </c>
      <c r="K2944" s="129">
        <f t="shared" si="984"/>
        <v>-1.3859617741734962</v>
      </c>
      <c r="L2944" s="129">
        <f t="shared" si="985"/>
        <v>-1.4061802008843363</v>
      </c>
      <c r="M2944" s="19">
        <f t="shared" ref="M2944" si="988">M2942+M2943</f>
        <v>-1.4263986275951765</v>
      </c>
    </row>
    <row r="2945" spans="2:13" x14ac:dyDescent="0.2">
      <c r="C2945" t="s">
        <v>1218</v>
      </c>
      <c r="E2945" s="19">
        <f>E2938+E2939+E2940+E2941</f>
        <v>19.292490007106565</v>
      </c>
      <c r="F2945" s="19">
        <f t="shared" ref="F2945:M2945" si="989">F2938+F2939+F2940+F2941</f>
        <v>20.035360227169491</v>
      </c>
      <c r="G2945" s="19">
        <f t="shared" si="989"/>
        <v>20.778230447232417</v>
      </c>
      <c r="H2945" s="19">
        <f t="shared" si="989"/>
        <v>21.366877040861038</v>
      </c>
      <c r="I2945" s="19">
        <f t="shared" si="989"/>
        <v>21.955523634489655</v>
      </c>
      <c r="J2945" s="19">
        <f t="shared" si="989"/>
        <v>22.544170228118279</v>
      </c>
      <c r="K2945" s="19">
        <f t="shared" si="989"/>
        <v>22.532746174251496</v>
      </c>
      <c r="L2945" s="19">
        <f t="shared" si="989"/>
        <v>22.521322120384717</v>
      </c>
      <c r="M2945" s="19">
        <f t="shared" si="989"/>
        <v>22.509898066517938</v>
      </c>
    </row>
    <row r="2946" spans="2:13" x14ac:dyDescent="0.2">
      <c r="C2946" t="s">
        <v>1222</v>
      </c>
      <c r="E2946" s="19">
        <f>SUM(E2928:E2943)</f>
        <v>30.623486139430156</v>
      </c>
      <c r="F2946" s="19">
        <f t="shared" ref="F2946:M2946" si="990">SUM(F2928:F2943)</f>
        <v>30.628728974443373</v>
      </c>
      <c r="G2946" s="19">
        <f t="shared" si="990"/>
        <v>30.633971809456597</v>
      </c>
      <c r="H2946" s="19">
        <f t="shared" si="990"/>
        <v>30.590303560403264</v>
      </c>
      <c r="I2946" s="19">
        <f t="shared" si="990"/>
        <v>30.546635311349938</v>
      </c>
      <c r="J2946" s="19">
        <f t="shared" si="990"/>
        <v>30.502967062296623</v>
      </c>
      <c r="K2946" s="19">
        <f t="shared" si="990"/>
        <v>30.99655862101476</v>
      </c>
      <c r="L2946" s="19">
        <f t="shared" si="990"/>
        <v>31.490150179732908</v>
      </c>
      <c r="M2946" s="19">
        <f t="shared" si="990"/>
        <v>31.983741738451059</v>
      </c>
    </row>
    <row r="2947" spans="2:13" x14ac:dyDescent="0.2">
      <c r="E2947" s="19"/>
      <c r="F2947" s="19"/>
      <c r="G2947" s="19"/>
      <c r="H2947" s="19"/>
      <c r="I2947" s="19"/>
      <c r="J2947" s="19"/>
      <c r="K2947" s="19"/>
      <c r="L2947" s="19"/>
      <c r="M2947" s="19"/>
    </row>
    <row r="2948" spans="2:13" ht="15" x14ac:dyDescent="0.25">
      <c r="B2948" s="2" t="s">
        <v>1114</v>
      </c>
      <c r="C2948" s="121"/>
      <c r="E2948" s="122"/>
      <c r="G2948" s="122"/>
      <c r="J2948" s="122"/>
      <c r="M2948" s="122"/>
    </row>
    <row r="2949" spans="2:13" ht="15" x14ac:dyDescent="0.25">
      <c r="C2949" s="13" t="s">
        <v>1097</v>
      </c>
      <c r="E2949" s="2">
        <v>2010</v>
      </c>
      <c r="F2949" s="2">
        <v>2015</v>
      </c>
      <c r="G2949" s="2">
        <v>2020</v>
      </c>
      <c r="H2949" s="2">
        <v>2025</v>
      </c>
      <c r="I2949" s="2">
        <v>2030</v>
      </c>
      <c r="J2949" s="2">
        <v>2035</v>
      </c>
      <c r="K2949" s="2">
        <v>2040</v>
      </c>
      <c r="L2949" s="2">
        <v>2045</v>
      </c>
      <c r="M2949" s="2">
        <v>2050</v>
      </c>
    </row>
    <row r="2950" spans="2:13" x14ac:dyDescent="0.2">
      <c r="C2950" t="s">
        <v>1107</v>
      </c>
      <c r="E2950" s="136">
        <v>0</v>
      </c>
      <c r="F2950" s="135">
        <v>0</v>
      </c>
      <c r="G2950" s="90">
        <v>0</v>
      </c>
      <c r="H2950" s="134">
        <v>0</v>
      </c>
      <c r="I2950" s="129">
        <f>1/2*(H2950+J2950)</f>
        <v>0</v>
      </c>
      <c r="J2950" s="90">
        <v>0</v>
      </c>
      <c r="K2950" s="129">
        <f>2/3*J2950+1/3*M2950</f>
        <v>0</v>
      </c>
      <c r="L2950" s="129">
        <f>1/3*J2950+2/3*M2950</f>
        <v>0</v>
      </c>
      <c r="M2950" s="90">
        <v>0</v>
      </c>
    </row>
    <row r="2951" spans="2:13" x14ac:dyDescent="0.2">
      <c r="C2951" t="s">
        <v>1108</v>
      </c>
      <c r="E2951" s="90">
        <v>0.90183000000000002</v>
      </c>
      <c r="F2951" s="134">
        <v>0.73177680934039446</v>
      </c>
      <c r="G2951" s="90">
        <v>0.54883260700529446</v>
      </c>
      <c r="H2951" s="134">
        <v>0.36588840467019723</v>
      </c>
      <c r="I2951" s="129">
        <f t="shared" ref="I2951:I2966" si="991">1/2*(H2951+J2951)</f>
        <v>0.20123862256860847</v>
      </c>
      <c r="J2951" s="90">
        <v>3.6588840467019719E-2</v>
      </c>
      <c r="K2951" s="129">
        <f t="shared" ref="K2951:K2966" si="992">2/3*J2951+1/3*M2951</f>
        <v>2.4392560311346477E-2</v>
      </c>
      <c r="L2951" s="129">
        <f t="shared" ref="L2951:L2966" si="993">1/3*J2951+2/3*M2951</f>
        <v>1.2196280155673239E-2</v>
      </c>
      <c r="M2951" s="136">
        <v>0</v>
      </c>
    </row>
    <row r="2952" spans="2:13" x14ac:dyDescent="0.2">
      <c r="C2952" t="s">
        <v>1109</v>
      </c>
      <c r="E2952" s="133">
        <v>2.1750868754721359E-3</v>
      </c>
      <c r="F2952" s="135">
        <v>0</v>
      </c>
      <c r="G2952" s="136">
        <v>0</v>
      </c>
      <c r="H2952" s="135">
        <v>0</v>
      </c>
      <c r="I2952" s="129">
        <f t="shared" si="991"/>
        <v>0</v>
      </c>
      <c r="J2952" s="136">
        <v>0</v>
      </c>
      <c r="K2952" s="129">
        <f t="shared" si="992"/>
        <v>0</v>
      </c>
      <c r="L2952" s="129">
        <f t="shared" si="993"/>
        <v>0</v>
      </c>
      <c r="M2952" s="136">
        <v>0</v>
      </c>
    </row>
    <row r="2953" spans="2:13" x14ac:dyDescent="0.2">
      <c r="C2953" t="s">
        <v>935</v>
      </c>
      <c r="E2953" s="136">
        <v>25.205199999999998</v>
      </c>
      <c r="F2953" s="132">
        <v>26.495000000000029</v>
      </c>
      <c r="G2953" s="136">
        <v>22.834200000000028</v>
      </c>
      <c r="H2953" s="132">
        <v>17.398</v>
      </c>
      <c r="I2953" s="129">
        <f t="shared" si="991"/>
        <v>10.654208333333333</v>
      </c>
      <c r="J2953" s="90">
        <v>3.9104166666666669</v>
      </c>
      <c r="K2953" s="129">
        <f t="shared" si="992"/>
        <v>2.6069444444444443</v>
      </c>
      <c r="L2953" s="129">
        <f t="shared" si="993"/>
        <v>1.3034722222222221</v>
      </c>
      <c r="M2953" s="136">
        <v>0</v>
      </c>
    </row>
    <row r="2954" spans="2:13" x14ac:dyDescent="0.2">
      <c r="C2954" t="s">
        <v>1110</v>
      </c>
      <c r="E2954" s="90">
        <v>0.10696586875472194</v>
      </c>
      <c r="F2954" s="135">
        <v>0</v>
      </c>
      <c r="G2954" s="136">
        <v>0</v>
      </c>
      <c r="H2954" s="135">
        <v>0</v>
      </c>
      <c r="I2954" s="129">
        <f t="shared" si="991"/>
        <v>1.4820883059010555E-4</v>
      </c>
      <c r="J2954" s="90">
        <v>2.964176611802111E-4</v>
      </c>
      <c r="K2954" s="129">
        <f t="shared" si="992"/>
        <v>1.9761177412014073E-4</v>
      </c>
      <c r="L2954" s="129">
        <f t="shared" si="993"/>
        <v>9.8805887060070364E-5</v>
      </c>
      <c r="M2954" s="136">
        <v>0</v>
      </c>
    </row>
    <row r="2955" spans="2:13" x14ac:dyDescent="0.2">
      <c r="C2955" t="s">
        <v>1034</v>
      </c>
      <c r="E2955" s="136">
        <v>0</v>
      </c>
      <c r="F2955" s="135">
        <v>0</v>
      </c>
      <c r="G2955" s="136">
        <v>0</v>
      </c>
      <c r="H2955" s="134">
        <v>0.32543797321494167</v>
      </c>
      <c r="I2955" s="129">
        <f t="shared" si="991"/>
        <v>0.6779169866074708</v>
      </c>
      <c r="J2955" s="136">
        <v>1.0303959999999999</v>
      </c>
      <c r="K2955" s="129">
        <f t="shared" si="992"/>
        <v>1.9999597777777776</v>
      </c>
      <c r="L2955" s="129">
        <f t="shared" si="993"/>
        <v>2.969523555555555</v>
      </c>
      <c r="M2955" s="90">
        <v>3.9390873333333332</v>
      </c>
    </row>
    <row r="2956" spans="2:13" x14ac:dyDescent="0.2">
      <c r="C2956" t="s">
        <v>7</v>
      </c>
      <c r="E2956" s="53">
        <v>4.3298460203975001E-2</v>
      </c>
      <c r="F2956" s="131">
        <v>3.4638768163179998E-2</v>
      </c>
      <c r="G2956" s="53">
        <v>2.597907612238497E-2</v>
      </c>
      <c r="H2956" s="131">
        <v>1.7319384081589971E-2</v>
      </c>
      <c r="I2956" s="129">
        <f t="shared" si="991"/>
        <v>2.6749389699563091</v>
      </c>
      <c r="J2956" s="90">
        <v>5.332558555831028</v>
      </c>
      <c r="K2956" s="129">
        <f t="shared" si="992"/>
        <v>6.6270975073452592</v>
      </c>
      <c r="L2956" s="129">
        <f t="shared" si="993"/>
        <v>7.9216364588594903</v>
      </c>
      <c r="M2956" s="90">
        <v>9.2161754103737223</v>
      </c>
    </row>
    <row r="2957" spans="2:13" x14ac:dyDescent="0.2">
      <c r="C2957" t="s">
        <v>8</v>
      </c>
      <c r="E2957" s="53">
        <v>1.3612634558270335E-2</v>
      </c>
      <c r="F2957" s="131">
        <v>1.0890107646616305E-2</v>
      </c>
      <c r="G2957" s="53">
        <v>8.1675807349621942E-3</v>
      </c>
      <c r="H2957" s="131">
        <v>5.4450538233081387E-3</v>
      </c>
      <c r="I2957" s="129">
        <f t="shared" si="991"/>
        <v>0.57927808246720414</v>
      </c>
      <c r="J2957" s="90">
        <v>1.1531111111111001</v>
      </c>
      <c r="K2957" s="129">
        <f t="shared" si="992"/>
        <v>1.5731851851851779</v>
      </c>
      <c r="L2957" s="129">
        <f t="shared" si="993"/>
        <v>1.9932592592592557</v>
      </c>
      <c r="M2957" s="90">
        <v>2.4133333333333336</v>
      </c>
    </row>
    <row r="2958" spans="2:13" x14ac:dyDescent="0.2">
      <c r="C2958" t="s">
        <v>1112</v>
      </c>
      <c r="E2958" s="90">
        <v>2.2361111111111112</v>
      </c>
      <c r="F2958" s="134">
        <v>2.2361111111111138</v>
      </c>
      <c r="G2958" s="90">
        <v>2.2070629981865055</v>
      </c>
      <c r="H2958" s="134">
        <v>2.2361111111111112</v>
      </c>
      <c r="I2958" s="129">
        <f t="shared" si="991"/>
        <v>2.2361111111111125</v>
      </c>
      <c r="J2958" s="90">
        <v>2.2361111111111138</v>
      </c>
      <c r="K2958" s="129">
        <f t="shared" si="992"/>
        <v>2.2361111111111129</v>
      </c>
      <c r="L2958" s="129">
        <f t="shared" si="993"/>
        <v>2.236111111111112</v>
      </c>
      <c r="M2958" s="90">
        <v>2.2361111111111112</v>
      </c>
    </row>
    <row r="2959" spans="2:13" x14ac:dyDescent="0.2">
      <c r="C2959" t="s">
        <v>1113</v>
      </c>
      <c r="E2959" s="90">
        <v>0.161</v>
      </c>
      <c r="F2959" s="135">
        <v>0</v>
      </c>
      <c r="G2959" s="136">
        <v>0</v>
      </c>
      <c r="H2959" s="135">
        <v>0</v>
      </c>
      <c r="I2959" s="129">
        <f t="shared" si="991"/>
        <v>0.41049832978185974</v>
      </c>
      <c r="J2959" s="136">
        <v>0.82099665956371948</v>
      </c>
      <c r="K2959" s="129">
        <f t="shared" si="992"/>
        <v>1.7636644397091463</v>
      </c>
      <c r="L2959" s="129">
        <f t="shared" si="993"/>
        <v>2.706332219854573</v>
      </c>
      <c r="M2959" s="136">
        <v>3.649</v>
      </c>
    </row>
    <row r="2960" spans="2:13" x14ac:dyDescent="0.2">
      <c r="C2960" t="s">
        <v>1117</v>
      </c>
      <c r="E2960" s="136">
        <v>16.029999999999973</v>
      </c>
      <c r="F2960" s="132">
        <v>16.55099999999997</v>
      </c>
      <c r="G2960" s="136">
        <v>18.114874999999973</v>
      </c>
      <c r="H2960" s="132">
        <v>18.268750000000026</v>
      </c>
      <c r="I2960" s="129">
        <f t="shared" si="991"/>
        <v>18.407237500000001</v>
      </c>
      <c r="J2960" s="136">
        <v>18.545724999999972</v>
      </c>
      <c r="K2960" s="129">
        <f t="shared" si="992"/>
        <v>18.555983333333312</v>
      </c>
      <c r="L2960" s="129">
        <f t="shared" si="993"/>
        <v>18.566241666666656</v>
      </c>
      <c r="M2960" s="136">
        <v>18.576499999999999</v>
      </c>
    </row>
    <row r="2961" spans="2:13" x14ac:dyDescent="0.2">
      <c r="C2961" t="s">
        <v>936</v>
      </c>
      <c r="E2961" s="136">
        <v>19.424800000000001</v>
      </c>
      <c r="F2961" s="132">
        <v>18.907</v>
      </c>
      <c r="G2961" s="136">
        <v>19.060874999999999</v>
      </c>
      <c r="H2961" s="132">
        <v>19.214749999999974</v>
      </c>
      <c r="I2961" s="129">
        <f t="shared" si="991"/>
        <v>19.353237499999999</v>
      </c>
      <c r="J2961" s="136">
        <v>19.491725000000027</v>
      </c>
      <c r="K2961" s="129">
        <f t="shared" si="992"/>
        <v>19.501983333333349</v>
      </c>
      <c r="L2961" s="129">
        <f t="shared" si="993"/>
        <v>19.512241666666675</v>
      </c>
      <c r="M2961" s="136">
        <v>19.522500000000001</v>
      </c>
    </row>
    <row r="2962" spans="2:13" x14ac:dyDescent="0.2">
      <c r="C2962" t="s">
        <v>1118</v>
      </c>
      <c r="E2962" s="90">
        <v>1.9952000000000027</v>
      </c>
      <c r="F2962" s="134">
        <v>0.9988050134001083</v>
      </c>
      <c r="G2962" s="90">
        <v>1.3226639448424278</v>
      </c>
      <c r="H2962" s="134">
        <v>1.2772789401994999</v>
      </c>
      <c r="I2962" s="129">
        <f t="shared" si="991"/>
        <v>0.87234924725907359</v>
      </c>
      <c r="J2962" s="90">
        <v>0.46741955431864723</v>
      </c>
      <c r="K2962" s="129">
        <f t="shared" si="992"/>
        <v>0.44374474969488981</v>
      </c>
      <c r="L2962" s="129">
        <f t="shared" si="993"/>
        <v>0.42006994507113238</v>
      </c>
      <c r="M2962" s="90">
        <v>0.39639514044737501</v>
      </c>
    </row>
    <row r="2963" spans="2:13" x14ac:dyDescent="0.2">
      <c r="C2963" t="s">
        <v>1111</v>
      </c>
      <c r="E2963" s="90">
        <v>-2.4940000000000002</v>
      </c>
      <c r="F2963" s="134">
        <v>-1.2485062667501361</v>
      </c>
      <c r="G2963" s="90">
        <v>-1.6533299310530387</v>
      </c>
      <c r="H2963" s="134">
        <v>-1.5965986752493777</v>
      </c>
      <c r="I2963" s="129">
        <f t="shared" si="991"/>
        <v>-1.090436559073843</v>
      </c>
      <c r="J2963" s="90">
        <v>-0.58427444289830832</v>
      </c>
      <c r="K2963" s="129">
        <f t="shared" si="992"/>
        <v>-0.55468093711861199</v>
      </c>
      <c r="L2963" s="129">
        <f t="shared" si="993"/>
        <v>-0.52508743133891578</v>
      </c>
      <c r="M2963" s="90">
        <v>-0.49549392555921945</v>
      </c>
    </row>
    <row r="2964" spans="2:13" x14ac:dyDescent="0.2">
      <c r="C2964" t="s">
        <v>0</v>
      </c>
      <c r="E2964" s="136">
        <v>66.833999999999165</v>
      </c>
      <c r="F2964" s="132">
        <v>26.559942186999329</v>
      </c>
      <c r="G2964" s="136">
        <v>27.777777777777779</v>
      </c>
      <c r="H2964" s="132">
        <v>27.777777777777779</v>
      </c>
      <c r="I2964" s="129">
        <f t="shared" si="991"/>
        <v>27.777777777777779</v>
      </c>
      <c r="J2964" s="136">
        <v>27.777777777777779</v>
      </c>
      <c r="K2964" s="129">
        <f t="shared" si="992"/>
        <v>27.777777777777779</v>
      </c>
      <c r="L2964" s="129">
        <f t="shared" si="993"/>
        <v>27.777777777777779</v>
      </c>
      <c r="M2964" s="136">
        <v>27.777777777777779</v>
      </c>
    </row>
    <row r="2965" spans="2:13" x14ac:dyDescent="0.2">
      <c r="C2965" t="s">
        <v>185</v>
      </c>
      <c r="E2965" s="136">
        <v>-66.313000000000272</v>
      </c>
      <c r="F2965" s="132">
        <v>-27.777777777777779</v>
      </c>
      <c r="G2965" s="136">
        <v>-27.5133031885305</v>
      </c>
      <c r="H2965" s="132">
        <v>-23.141768010390919</v>
      </c>
      <c r="I2965" s="129">
        <f t="shared" si="991"/>
        <v>-21.055563615066845</v>
      </c>
      <c r="J2965" s="136">
        <v>-18.969359219742774</v>
      </c>
      <c r="K2965" s="129">
        <f t="shared" si="992"/>
        <v>-20.256150422628181</v>
      </c>
      <c r="L2965" s="129">
        <f t="shared" si="993"/>
        <v>-21.542941625513592</v>
      </c>
      <c r="M2965" s="136">
        <v>-22.829732828399003</v>
      </c>
    </row>
    <row r="2966" spans="2:13" x14ac:dyDescent="0.2">
      <c r="C2966" t="s">
        <v>1071</v>
      </c>
      <c r="E2966" s="19">
        <f>E2964+E2965</f>
        <v>0.52099999999889235</v>
      </c>
      <c r="F2966" s="19">
        <f>F2964+F2965</f>
        <v>-1.2178355907784493</v>
      </c>
      <c r="G2966" s="21">
        <f t="shared" ref="G2966" si="994">G2964+G2965</f>
        <v>0.2644745892472784</v>
      </c>
      <c r="H2966" s="21">
        <f t="shared" ref="H2966" si="995">H2964+H2965</f>
        <v>4.6360097673868594</v>
      </c>
      <c r="I2966" s="129">
        <f t="shared" si="991"/>
        <v>6.722214162710932</v>
      </c>
      <c r="J2966" s="21">
        <f t="shared" ref="J2966" si="996">J2964+J2965</f>
        <v>8.8084185580350045</v>
      </c>
      <c r="K2966" s="129">
        <f t="shared" si="992"/>
        <v>7.5216273551495947</v>
      </c>
      <c r="L2966" s="129">
        <f t="shared" si="993"/>
        <v>6.2348361522641849</v>
      </c>
      <c r="M2966" s="21">
        <f t="shared" ref="M2966" si="997">M2964+M2965</f>
        <v>4.9480449493787759</v>
      </c>
    </row>
    <row r="2967" spans="2:13" x14ac:dyDescent="0.2">
      <c r="C2967" t="s">
        <v>1218</v>
      </c>
      <c r="E2967" s="19">
        <f>E2960+E2961+E2962+E2963</f>
        <v>34.955999999999982</v>
      </c>
      <c r="F2967" s="19">
        <f t="shared" ref="F2967:M2967" si="998">F2960+F2961+F2962+F2963</f>
        <v>35.208298746649945</v>
      </c>
      <c r="G2967" s="19">
        <f t="shared" si="998"/>
        <v>36.845084013789361</v>
      </c>
      <c r="H2967" s="19">
        <f t="shared" si="998"/>
        <v>37.164180264950126</v>
      </c>
      <c r="I2967" s="19">
        <f t="shared" si="998"/>
        <v>37.542387688185229</v>
      </c>
      <c r="J2967" s="19">
        <f t="shared" si="998"/>
        <v>37.92059511142034</v>
      </c>
      <c r="K2967" s="19">
        <f t="shared" si="998"/>
        <v>37.947030479242933</v>
      </c>
      <c r="L2967" s="19">
        <f t="shared" si="998"/>
        <v>37.973465847065548</v>
      </c>
      <c r="M2967" s="19">
        <f t="shared" si="998"/>
        <v>37.999901214888162</v>
      </c>
    </row>
    <row r="2968" spans="2:13" x14ac:dyDescent="0.2">
      <c r="C2968" t="s">
        <v>1222</v>
      </c>
      <c r="E2968" s="19">
        <f>SUM(E2950:E2965)</f>
        <v>64.1471931615024</v>
      </c>
      <c r="F2968" s="19">
        <f t="shared" ref="F2968:M2968" si="999">SUM(F2950:F2965)</f>
        <v>63.498879952132818</v>
      </c>
      <c r="G2968" s="19">
        <f t="shared" si="999"/>
        <v>62.733800865085811</v>
      </c>
      <c r="H2968" s="19">
        <f t="shared" si="999"/>
        <v>62.14839195923814</v>
      </c>
      <c r="I2968" s="19">
        <f t="shared" si="999"/>
        <v>61.698940495552648</v>
      </c>
      <c r="J2968" s="19">
        <f t="shared" si="999"/>
        <v>61.249489031867185</v>
      </c>
      <c r="K2968" s="19">
        <f t="shared" si="999"/>
        <v>62.300210472050921</v>
      </c>
      <c r="L2968" s="19">
        <f t="shared" si="999"/>
        <v>63.350931912234671</v>
      </c>
      <c r="M2968" s="19">
        <f t="shared" si="999"/>
        <v>64.401653352418435</v>
      </c>
    </row>
    <row r="2969" spans="2:13" x14ac:dyDescent="0.2">
      <c r="C2969" s="121"/>
      <c r="E2969" s="122"/>
      <c r="G2969" s="122"/>
      <c r="J2969" s="122"/>
      <c r="M2969" s="122"/>
    </row>
    <row r="2970" spans="2:13" ht="15" x14ac:dyDescent="0.25">
      <c r="B2970" s="2" t="s">
        <v>1115</v>
      </c>
    </row>
    <row r="2971" spans="2:13" ht="15" x14ac:dyDescent="0.25">
      <c r="C2971" s="13" t="s">
        <v>1097</v>
      </c>
      <c r="E2971" s="2">
        <v>2010</v>
      </c>
      <c r="F2971" s="2">
        <v>2015</v>
      </c>
      <c r="G2971" s="2">
        <v>2020</v>
      </c>
      <c r="H2971" s="2">
        <v>2025</v>
      </c>
      <c r="I2971" s="2">
        <v>2030</v>
      </c>
      <c r="J2971" s="2">
        <v>2035</v>
      </c>
      <c r="K2971" s="2">
        <v>2040</v>
      </c>
      <c r="L2971" s="2">
        <v>2045</v>
      </c>
      <c r="M2971" s="2">
        <v>2050</v>
      </c>
    </row>
    <row r="2972" spans="2:13" x14ac:dyDescent="0.2">
      <c r="C2972" t="s">
        <v>1107</v>
      </c>
      <c r="E2972" s="136">
        <v>0</v>
      </c>
      <c r="F2972" s="135">
        <v>0</v>
      </c>
      <c r="G2972" s="90">
        <v>0.75261622007159723</v>
      </c>
      <c r="H2972" s="134">
        <v>5.5552818802235553</v>
      </c>
      <c r="I2972" s="129">
        <f>1/2*(H2972+J2972)</f>
        <v>2.7776409401117776</v>
      </c>
      <c r="J2972" s="90">
        <v>0</v>
      </c>
      <c r="K2972" s="129">
        <f>2/3*J2972+1/3*M2972</f>
        <v>9.0517528066627218E-2</v>
      </c>
      <c r="L2972" s="129">
        <f>1/3*J2972+2/3*M2972</f>
        <v>0.18103505613325444</v>
      </c>
      <c r="M2972" s="90">
        <v>0.27155258419988165</v>
      </c>
    </row>
    <row r="2973" spans="2:13" x14ac:dyDescent="0.2">
      <c r="C2973" t="s">
        <v>1108</v>
      </c>
      <c r="E2973" s="90">
        <v>0.90183000000000002</v>
      </c>
      <c r="F2973" s="135">
        <v>0</v>
      </c>
      <c r="G2973" s="90">
        <v>0.54883260700529446</v>
      </c>
      <c r="H2973" s="134">
        <v>0.36588840467019723</v>
      </c>
      <c r="I2973" s="129">
        <f t="shared" ref="I2973:I2988" si="1000">1/2*(H2973+J2973)</f>
        <v>0.18294420233509862</v>
      </c>
      <c r="J2973" s="90">
        <v>0</v>
      </c>
      <c r="K2973" s="129">
        <f t="shared" ref="K2973:K2988" si="1001">2/3*J2973+1/3*M2973</f>
        <v>0</v>
      </c>
      <c r="L2973" s="129">
        <f t="shared" ref="L2973:L2988" si="1002">1/3*J2973+2/3*M2973</f>
        <v>0</v>
      </c>
      <c r="M2973" s="136">
        <v>0</v>
      </c>
    </row>
    <row r="2974" spans="2:13" x14ac:dyDescent="0.2">
      <c r="C2974" t="s">
        <v>1109</v>
      </c>
      <c r="E2974" s="133">
        <v>2.1750868754721359E-3</v>
      </c>
      <c r="F2974" s="135">
        <v>0</v>
      </c>
      <c r="G2974" s="136">
        <v>0</v>
      </c>
      <c r="H2974" s="135">
        <v>0</v>
      </c>
      <c r="I2974" s="129">
        <f t="shared" si="1000"/>
        <v>0</v>
      </c>
      <c r="J2974" s="136">
        <v>0</v>
      </c>
      <c r="K2974" s="129">
        <f t="shared" si="1001"/>
        <v>0</v>
      </c>
      <c r="L2974" s="129">
        <f t="shared" si="1002"/>
        <v>0</v>
      </c>
      <c r="M2974" s="136">
        <v>0</v>
      </c>
    </row>
    <row r="2975" spans="2:13" x14ac:dyDescent="0.2">
      <c r="C2975" t="s">
        <v>935</v>
      </c>
      <c r="E2975" s="136">
        <v>25.205199999999998</v>
      </c>
      <c r="F2975" s="132">
        <v>26.42224558100272</v>
      </c>
      <c r="G2975" s="136">
        <v>22.834200000000028</v>
      </c>
      <c r="H2975" s="132">
        <v>17.398</v>
      </c>
      <c r="I2975" s="129">
        <f t="shared" si="1000"/>
        <v>20.841300000000011</v>
      </c>
      <c r="J2975" s="90">
        <v>24.284600000000026</v>
      </c>
      <c r="K2975" s="129">
        <f t="shared" si="1001"/>
        <v>24.599333333333359</v>
      </c>
      <c r="L2975" s="129">
        <f t="shared" si="1002"/>
        <v>24.914066666666692</v>
      </c>
      <c r="M2975" s="136">
        <v>25.228800000000025</v>
      </c>
    </row>
    <row r="2976" spans="2:13" x14ac:dyDescent="0.2">
      <c r="C2976" t="s">
        <v>1110</v>
      </c>
      <c r="E2976" s="90">
        <v>0.10696586875472194</v>
      </c>
      <c r="F2976" s="135">
        <v>0</v>
      </c>
      <c r="G2976" s="136">
        <v>0</v>
      </c>
      <c r="H2976" s="135">
        <v>0</v>
      </c>
      <c r="I2976" s="129">
        <f t="shared" si="1000"/>
        <v>0</v>
      </c>
      <c r="J2976" s="90">
        <v>0</v>
      </c>
      <c r="K2976" s="129">
        <f t="shared" si="1001"/>
        <v>0</v>
      </c>
      <c r="L2976" s="129">
        <f t="shared" si="1002"/>
        <v>0</v>
      </c>
      <c r="M2976" s="136">
        <v>0</v>
      </c>
    </row>
    <row r="2977" spans="2:13" x14ac:dyDescent="0.2">
      <c r="C2977" t="s">
        <v>1034</v>
      </c>
      <c r="E2977" s="136">
        <v>0</v>
      </c>
      <c r="F2977" s="135">
        <v>0</v>
      </c>
      <c r="G2977" s="136">
        <v>0</v>
      </c>
      <c r="H2977" s="135">
        <v>0</v>
      </c>
      <c r="I2977" s="129">
        <f t="shared" si="1000"/>
        <v>0</v>
      </c>
      <c r="J2977" s="136">
        <v>0</v>
      </c>
      <c r="K2977" s="129">
        <f t="shared" si="1001"/>
        <v>0</v>
      </c>
      <c r="L2977" s="129">
        <f t="shared" si="1002"/>
        <v>0</v>
      </c>
      <c r="M2977" s="90">
        <v>0</v>
      </c>
    </row>
    <row r="2978" spans="2:13" x14ac:dyDescent="0.2">
      <c r="C2978" t="s">
        <v>7</v>
      </c>
      <c r="E2978" s="53">
        <v>4.3298460203975001E-2</v>
      </c>
      <c r="F2978" s="131">
        <v>3.4638768163179998E-2</v>
      </c>
      <c r="G2978" s="53">
        <v>2.597907612238497E-2</v>
      </c>
      <c r="H2978" s="131">
        <v>1.7319384081589971E-2</v>
      </c>
      <c r="I2978" s="129">
        <f t="shared" si="1000"/>
        <v>9.4461681896072201E-3</v>
      </c>
      <c r="J2978" s="90">
        <v>1.5729522976244694E-3</v>
      </c>
      <c r="K2978" s="129">
        <f t="shared" si="1001"/>
        <v>1.0486348650829795E-3</v>
      </c>
      <c r="L2978" s="129">
        <f t="shared" si="1002"/>
        <v>5.2431743254148977E-4</v>
      </c>
      <c r="M2978" s="90">
        <v>0</v>
      </c>
    </row>
    <row r="2979" spans="2:13" x14ac:dyDescent="0.2">
      <c r="C2979" t="s">
        <v>8</v>
      </c>
      <c r="E2979" s="53">
        <v>1.3612634558270335E-2</v>
      </c>
      <c r="F2979" s="131">
        <v>1.0890107646616305E-2</v>
      </c>
      <c r="G2979" s="53">
        <v>8.1675807349621942E-3</v>
      </c>
      <c r="H2979" s="131">
        <v>5.4450538233081387E-3</v>
      </c>
      <c r="I2979" s="129">
        <f t="shared" si="1000"/>
        <v>2.9683084185921126E-3</v>
      </c>
      <c r="J2979" s="127">
        <v>4.9156301387608614E-4</v>
      </c>
      <c r="K2979" s="129">
        <f t="shared" si="1001"/>
        <v>3.2770867591739076E-4</v>
      </c>
      <c r="L2979" s="129">
        <f t="shared" si="1002"/>
        <v>1.6385433795869538E-4</v>
      </c>
      <c r="M2979" s="90">
        <v>0</v>
      </c>
    </row>
    <row r="2980" spans="2:13" x14ac:dyDescent="0.2">
      <c r="C2980" t="s">
        <v>1112</v>
      </c>
      <c r="E2980" s="90">
        <v>2.2361111111111112</v>
      </c>
      <c r="F2980" s="134">
        <v>2.2361111111111138</v>
      </c>
      <c r="G2980" s="90">
        <v>2.2070629981865055</v>
      </c>
      <c r="H2980" s="134">
        <v>2.2361111111111112</v>
      </c>
      <c r="I2980" s="129">
        <f t="shared" si="1000"/>
        <v>1.8669135122450542</v>
      </c>
      <c r="J2980" s="90">
        <v>1.4977159133789972</v>
      </c>
      <c r="K2980" s="129">
        <f t="shared" si="1001"/>
        <v>1.7438476459563685</v>
      </c>
      <c r="L2980" s="129">
        <f t="shared" si="1002"/>
        <v>1.9899793785337399</v>
      </c>
      <c r="M2980" s="90">
        <v>2.2361111111111112</v>
      </c>
    </row>
    <row r="2981" spans="2:13" x14ac:dyDescent="0.2">
      <c r="C2981" t="s">
        <v>1113</v>
      </c>
      <c r="E2981" s="90">
        <v>0.161</v>
      </c>
      <c r="F2981" s="135">
        <v>0</v>
      </c>
      <c r="G2981" s="136">
        <v>0</v>
      </c>
      <c r="H2981" s="135">
        <v>0</v>
      </c>
      <c r="I2981" s="129">
        <f t="shared" si="1000"/>
        <v>0</v>
      </c>
      <c r="J2981" s="136">
        <v>0</v>
      </c>
      <c r="K2981" s="129">
        <f t="shared" si="1001"/>
        <v>0</v>
      </c>
      <c r="L2981" s="129">
        <f t="shared" si="1002"/>
        <v>0</v>
      </c>
      <c r="M2981" s="136">
        <v>0</v>
      </c>
    </row>
    <row r="2982" spans="2:13" x14ac:dyDescent="0.2">
      <c r="C2982" t="s">
        <v>1117</v>
      </c>
      <c r="E2982" s="136">
        <v>16.029999999999973</v>
      </c>
      <c r="F2982" s="132">
        <v>16.55099999999997</v>
      </c>
      <c r="G2982" s="136">
        <v>18.114874999999973</v>
      </c>
      <c r="H2982" s="132">
        <v>18.268750000000026</v>
      </c>
      <c r="I2982" s="129">
        <f t="shared" si="1000"/>
        <v>18.407237500000001</v>
      </c>
      <c r="J2982" s="136">
        <v>18.545724999999972</v>
      </c>
      <c r="K2982" s="129">
        <f t="shared" si="1001"/>
        <v>18.555983333333312</v>
      </c>
      <c r="L2982" s="129">
        <f t="shared" si="1002"/>
        <v>18.566241666666656</v>
      </c>
      <c r="M2982" s="136">
        <v>18.576499999999999</v>
      </c>
    </row>
    <row r="2983" spans="2:13" x14ac:dyDescent="0.2">
      <c r="C2983" t="s">
        <v>936</v>
      </c>
      <c r="E2983" s="136">
        <v>19.424800000000001</v>
      </c>
      <c r="F2983" s="132">
        <v>18.907000000000028</v>
      </c>
      <c r="G2983" s="136">
        <v>19.060875000000028</v>
      </c>
      <c r="H2983" s="132">
        <v>19.214750000000002</v>
      </c>
      <c r="I2983" s="129">
        <f t="shared" si="1000"/>
        <v>19.35323749999997</v>
      </c>
      <c r="J2983" s="136">
        <v>19.491724999999942</v>
      </c>
      <c r="K2983" s="129">
        <f t="shared" si="1001"/>
        <v>19.501983333333293</v>
      </c>
      <c r="L2983" s="129">
        <f t="shared" si="1002"/>
        <v>19.512241666666647</v>
      </c>
      <c r="M2983" s="136">
        <v>19.522500000000001</v>
      </c>
    </row>
    <row r="2984" spans="2:13" x14ac:dyDescent="0.2">
      <c r="C2984" t="s">
        <v>1118</v>
      </c>
      <c r="E2984" s="90">
        <v>1.9952000000000027</v>
      </c>
      <c r="F2984" s="134">
        <v>2.6520224630974831</v>
      </c>
      <c r="G2984" s="90">
        <v>3.2752304680441391</v>
      </c>
      <c r="H2984" s="134">
        <v>3.6526154985770001</v>
      </c>
      <c r="I2984" s="129">
        <f t="shared" si="1000"/>
        <v>4.9309477492610423</v>
      </c>
      <c r="J2984" s="90">
        <v>6.2092799999450836</v>
      </c>
      <c r="K2984" s="129">
        <f t="shared" si="1001"/>
        <v>6.0512671237446565</v>
      </c>
      <c r="L2984" s="129">
        <f t="shared" si="1002"/>
        <v>5.8932542475442311</v>
      </c>
      <c r="M2984" s="90">
        <v>5.7352413713438049</v>
      </c>
    </row>
    <row r="2985" spans="2:13" x14ac:dyDescent="0.2">
      <c r="C2985" t="s">
        <v>1111</v>
      </c>
      <c r="E2985" s="90">
        <v>-2.4940000000000002</v>
      </c>
      <c r="F2985" s="134">
        <v>-3.3150280788718609</v>
      </c>
      <c r="G2985" s="90">
        <v>-4.0940380850551668</v>
      </c>
      <c r="H2985" s="134">
        <v>-4.5657693732212499</v>
      </c>
      <c r="I2985" s="129">
        <f t="shared" si="1000"/>
        <v>-6.1636846865763051</v>
      </c>
      <c r="J2985" s="90">
        <v>-7.7615999999313612</v>
      </c>
      <c r="K2985" s="129">
        <f t="shared" si="1001"/>
        <v>-7.5640839046808237</v>
      </c>
      <c r="L2985" s="129">
        <f t="shared" si="1002"/>
        <v>-7.3665678094302862</v>
      </c>
      <c r="M2985" s="90">
        <v>-7.1690517141797496</v>
      </c>
    </row>
    <row r="2986" spans="2:13" x14ac:dyDescent="0.2">
      <c r="C2986" t="s">
        <v>0</v>
      </c>
      <c r="E2986" s="136">
        <v>66.833999999999165</v>
      </c>
      <c r="F2986" s="132">
        <v>27.777777777777693</v>
      </c>
      <c r="G2986" s="136">
        <v>27.777777777778052</v>
      </c>
      <c r="H2986" s="132">
        <v>27.777777777777779</v>
      </c>
      <c r="I2986" s="129">
        <f t="shared" si="1000"/>
        <v>27.777777777777779</v>
      </c>
      <c r="J2986" s="136">
        <v>27.777777777777779</v>
      </c>
      <c r="K2986" s="129">
        <f t="shared" si="1001"/>
        <v>27.777777777777739</v>
      </c>
      <c r="L2986" s="129">
        <f t="shared" si="1002"/>
        <v>27.7777777777777</v>
      </c>
      <c r="M2986" s="136">
        <v>27.777777777777665</v>
      </c>
    </row>
    <row r="2987" spans="2:13" x14ac:dyDescent="0.2">
      <c r="C2987" t="s">
        <v>185</v>
      </c>
      <c r="E2987" s="136">
        <v>-66.313000000000272</v>
      </c>
      <c r="F2987" s="132">
        <v>-27.777777777777779</v>
      </c>
      <c r="G2987" s="136">
        <v>-27.777777777777779</v>
      </c>
      <c r="H2987" s="132">
        <v>-27.777777777777779</v>
      </c>
      <c r="I2987" s="129">
        <f t="shared" si="1000"/>
        <v>-27.777777777777779</v>
      </c>
      <c r="J2987" s="136">
        <v>-27.777777777777779</v>
      </c>
      <c r="K2987" s="129">
        <f t="shared" si="1001"/>
        <v>-27.77777777777775</v>
      </c>
      <c r="L2987" s="129">
        <f t="shared" si="1002"/>
        <v>-27.777777777777722</v>
      </c>
      <c r="M2987" s="136">
        <v>-27.777777777777693</v>
      </c>
    </row>
    <row r="2988" spans="2:13" x14ac:dyDescent="0.2">
      <c r="C2988" t="s">
        <v>1071</v>
      </c>
      <c r="E2988" s="19">
        <f>E2986+E2987</f>
        <v>0.52099999999889235</v>
      </c>
      <c r="F2988" s="19">
        <f>F2986+F2987</f>
        <v>-8.5265128291212022E-14</v>
      </c>
      <c r="G2988" s="21">
        <f t="shared" ref="G2988" si="1003">G2986+G2987</f>
        <v>2.7355895326763857E-13</v>
      </c>
      <c r="H2988" s="21">
        <f t="shared" ref="H2988" si="1004">H2986+H2987</f>
        <v>0</v>
      </c>
      <c r="I2988" s="129">
        <f t="shared" si="1000"/>
        <v>0</v>
      </c>
      <c r="J2988" s="21">
        <f t="shared" ref="J2988" si="1005">J2986+J2987</f>
        <v>0</v>
      </c>
      <c r="K2988" s="129">
        <f t="shared" si="1001"/>
        <v>-9.473903143468002E-15</v>
      </c>
      <c r="L2988" s="129">
        <f t="shared" si="1002"/>
        <v>-1.8947806286936004E-14</v>
      </c>
      <c r="M2988" s="21">
        <f t="shared" ref="M2988" si="1006">M2986+M2987</f>
        <v>-2.8421709430404007E-14</v>
      </c>
    </row>
    <row r="2989" spans="2:13" x14ac:dyDescent="0.2">
      <c r="C2989" t="s">
        <v>1218</v>
      </c>
      <c r="E2989" s="19">
        <f>E2982+E2983+E2984+E2985</f>
        <v>34.955999999999982</v>
      </c>
      <c r="F2989" s="19">
        <f t="shared" ref="F2989:M2989" si="1007">F2982+F2983+F2984+F2985</f>
        <v>34.794994384225618</v>
      </c>
      <c r="G2989" s="19">
        <f t="shared" si="1007"/>
        <v>36.356942382988969</v>
      </c>
      <c r="H2989" s="19">
        <f t="shared" si="1007"/>
        <v>36.570346125355776</v>
      </c>
      <c r="I2989" s="19">
        <f t="shared" si="1007"/>
        <v>36.527738062684712</v>
      </c>
      <c r="J2989" s="19">
        <f t="shared" si="1007"/>
        <v>36.485130000013633</v>
      </c>
      <c r="K2989" s="19">
        <f t="shared" si="1007"/>
        <v>36.545149885730439</v>
      </c>
      <c r="L2989" s="19">
        <f t="shared" si="1007"/>
        <v>36.605169771447244</v>
      </c>
      <c r="M2989" s="19">
        <f t="shared" si="1007"/>
        <v>36.665189657164056</v>
      </c>
    </row>
    <row r="2990" spans="2:13" x14ac:dyDescent="0.2">
      <c r="C2990" t="s">
        <v>1222</v>
      </c>
      <c r="E2990" s="19">
        <f>SUM(E2972:E2987)</f>
        <v>64.1471931615024</v>
      </c>
      <c r="F2990" s="19">
        <f t="shared" ref="F2990:M2990" si="1008">SUM(F2972:F2987)</f>
        <v>63.49887995214916</v>
      </c>
      <c r="G2990" s="19">
        <f t="shared" si="1008"/>
        <v>62.73380086511002</v>
      </c>
      <c r="H2990" s="19">
        <f t="shared" si="1008"/>
        <v>62.148391959265531</v>
      </c>
      <c r="I2990" s="19">
        <f t="shared" si="1008"/>
        <v>62.208951193984852</v>
      </c>
      <c r="J2990" s="19">
        <f t="shared" si="1008"/>
        <v>62.269510428704159</v>
      </c>
      <c r="K2990" s="19">
        <f t="shared" si="1008"/>
        <v>62.980224736627783</v>
      </c>
      <c r="L2990" s="19">
        <f t="shared" si="1008"/>
        <v>63.690939044551406</v>
      </c>
      <c r="M2990" s="19">
        <f t="shared" si="1008"/>
        <v>64.401653352475051</v>
      </c>
    </row>
    <row r="2991" spans="2:13" x14ac:dyDescent="0.2">
      <c r="C2991" s="121"/>
      <c r="E2991" s="122"/>
      <c r="G2991" s="122"/>
      <c r="J2991" s="122"/>
      <c r="M2991" s="122"/>
    </row>
    <row r="2992" spans="2:13" ht="15" x14ac:dyDescent="0.25">
      <c r="B2992" s="2" t="s">
        <v>1119</v>
      </c>
    </row>
    <row r="2993" spans="3:13" ht="15" x14ac:dyDescent="0.25">
      <c r="C2993" s="13" t="s">
        <v>1097</v>
      </c>
      <c r="E2993" s="2">
        <v>2010</v>
      </c>
      <c r="F2993" s="2">
        <v>2015</v>
      </c>
      <c r="G2993" s="2">
        <v>2020</v>
      </c>
      <c r="H2993" s="2">
        <v>2025</v>
      </c>
      <c r="I2993" s="2">
        <v>2030</v>
      </c>
      <c r="J2993" s="2">
        <v>2035</v>
      </c>
      <c r="K2993" s="2">
        <v>2040</v>
      </c>
      <c r="L2993" s="2">
        <v>2045</v>
      </c>
      <c r="M2993" s="2">
        <v>2050</v>
      </c>
    </row>
    <row r="2994" spans="3:13" x14ac:dyDescent="0.2">
      <c r="C2994" t="s">
        <v>1107</v>
      </c>
      <c r="E2994" s="136">
        <v>0</v>
      </c>
      <c r="F2994" s="135">
        <v>0</v>
      </c>
      <c r="G2994" s="90">
        <v>0.36917266372152774</v>
      </c>
      <c r="H2994" s="134">
        <v>3.96</v>
      </c>
      <c r="I2994" s="129">
        <f>1/2*(H2994+J2994)</f>
        <v>6.53680966105218</v>
      </c>
      <c r="J2994" s="90">
        <v>9.1136193221043609</v>
      </c>
      <c r="K2994" s="129">
        <f>2/3*J2994+1/3*M2994</f>
        <v>6.7411708722704855</v>
      </c>
      <c r="L2994" s="129">
        <f>1/3*J2994+2/3*M2994</f>
        <v>4.3687224224366101</v>
      </c>
      <c r="M2994" s="90">
        <v>1.9962739726027361</v>
      </c>
    </row>
    <row r="2995" spans="3:13" x14ac:dyDescent="0.2">
      <c r="C2995" t="s">
        <v>1108</v>
      </c>
      <c r="E2995" s="90">
        <v>0.90183000000000002</v>
      </c>
      <c r="F2995" s="135">
        <v>0</v>
      </c>
      <c r="G2995" s="90">
        <v>0.54883260700529446</v>
      </c>
      <c r="H2995" s="134">
        <v>0.36588840467019723</v>
      </c>
      <c r="I2995" s="129">
        <f t="shared" ref="I2995:I3010" si="1009">1/2*(H2995+J2995)</f>
        <v>0.18294420233509862</v>
      </c>
      <c r="J2995" s="90">
        <v>0</v>
      </c>
      <c r="K2995" s="129">
        <f t="shared" ref="K2995:K3010" si="1010">2/3*J2995+1/3*M2995</f>
        <v>0</v>
      </c>
      <c r="L2995" s="129">
        <f t="shared" ref="L2995:L3010" si="1011">1/3*J2995+2/3*M2995</f>
        <v>0</v>
      </c>
      <c r="M2995" s="136">
        <v>0</v>
      </c>
    </row>
    <row r="2996" spans="3:13" x14ac:dyDescent="0.2">
      <c r="C2996" t="s">
        <v>1109</v>
      </c>
      <c r="E2996" s="133">
        <v>2.1750868754721359E-3</v>
      </c>
      <c r="F2996" s="135">
        <v>0</v>
      </c>
      <c r="G2996" s="136">
        <v>0</v>
      </c>
      <c r="H2996" s="135">
        <v>0</v>
      </c>
      <c r="I2996" s="129">
        <f t="shared" si="1009"/>
        <v>0</v>
      </c>
      <c r="J2996" s="136">
        <v>0</v>
      </c>
      <c r="K2996" s="129">
        <f t="shared" si="1010"/>
        <v>0</v>
      </c>
      <c r="L2996" s="129">
        <f t="shared" si="1011"/>
        <v>0</v>
      </c>
      <c r="M2996" s="136">
        <v>0</v>
      </c>
    </row>
    <row r="2997" spans="3:13" x14ac:dyDescent="0.2">
      <c r="C2997" t="s">
        <v>935</v>
      </c>
      <c r="E2997" s="136">
        <v>25.205199999999998</v>
      </c>
      <c r="F2997" s="132">
        <v>26.127972378415748</v>
      </c>
      <c r="G2997" s="136">
        <v>22.834200000000028</v>
      </c>
      <c r="H2997" s="132">
        <v>17.398</v>
      </c>
      <c r="I2997" s="129">
        <f t="shared" si="1009"/>
        <v>10.654208333333333</v>
      </c>
      <c r="J2997" s="90">
        <v>3.9104166666666669</v>
      </c>
      <c r="K2997" s="129">
        <f t="shared" si="1010"/>
        <v>2.6069444444444443</v>
      </c>
      <c r="L2997" s="129">
        <f t="shared" si="1011"/>
        <v>1.3034722222222221</v>
      </c>
      <c r="M2997" s="136">
        <v>0</v>
      </c>
    </row>
    <row r="2998" spans="3:13" x14ac:dyDescent="0.2">
      <c r="C2998" t="s">
        <v>1110</v>
      </c>
      <c r="E2998" s="90">
        <v>0.10696586875472194</v>
      </c>
      <c r="F2998" s="135">
        <v>0</v>
      </c>
      <c r="G2998" s="136">
        <v>0</v>
      </c>
      <c r="H2998" s="135">
        <v>0</v>
      </c>
      <c r="I2998" s="129">
        <f t="shared" si="1009"/>
        <v>0</v>
      </c>
      <c r="J2998" s="90">
        <v>0</v>
      </c>
      <c r="K2998" s="129">
        <f t="shared" si="1010"/>
        <v>0</v>
      </c>
      <c r="L2998" s="129">
        <f t="shared" si="1011"/>
        <v>0</v>
      </c>
      <c r="M2998" s="136">
        <v>0</v>
      </c>
    </row>
    <row r="2999" spans="3:13" x14ac:dyDescent="0.2">
      <c r="C2999" t="s">
        <v>1034</v>
      </c>
      <c r="E2999" s="136">
        <v>0</v>
      </c>
      <c r="F2999" s="135">
        <v>0</v>
      </c>
      <c r="G2999" s="136">
        <v>0</v>
      </c>
      <c r="H2999" s="134">
        <v>0.20757455937278083</v>
      </c>
      <c r="I2999" s="129">
        <f t="shared" si="1009"/>
        <v>0.61898527968639039</v>
      </c>
      <c r="J2999" s="136">
        <v>1.0303959999999999</v>
      </c>
      <c r="K2999" s="129">
        <f t="shared" si="1010"/>
        <v>1.8331017768733608</v>
      </c>
      <c r="L2999" s="129">
        <f t="shared" si="1011"/>
        <v>2.635807553746722</v>
      </c>
      <c r="M2999" s="90">
        <v>3.4385133306200832</v>
      </c>
    </row>
    <row r="3000" spans="3:13" x14ac:dyDescent="0.2">
      <c r="C3000" t="s">
        <v>7</v>
      </c>
      <c r="E3000" s="53">
        <v>4.3298460203975001E-2</v>
      </c>
      <c r="F3000" s="131">
        <v>3.4638768163179998E-2</v>
      </c>
      <c r="G3000" s="53">
        <v>2.597907612238497E-2</v>
      </c>
      <c r="H3000" s="131">
        <v>1.7319384081589971E-2</v>
      </c>
      <c r="I3000" s="129">
        <f t="shared" si="1009"/>
        <v>2.6749389699563091</v>
      </c>
      <c r="J3000" s="90">
        <v>5.332558555831028</v>
      </c>
      <c r="K3000" s="129">
        <f t="shared" si="1010"/>
        <v>6.6270975073452592</v>
      </c>
      <c r="L3000" s="129">
        <f t="shared" si="1011"/>
        <v>7.9216364588594903</v>
      </c>
      <c r="M3000" s="90">
        <v>9.2161754103737223</v>
      </c>
    </row>
    <row r="3001" spans="3:13" x14ac:dyDescent="0.2">
      <c r="C3001" t="s">
        <v>8</v>
      </c>
      <c r="E3001" s="53">
        <v>1.3612634558270335E-2</v>
      </c>
      <c r="F3001" s="131">
        <v>1.0890107646616305E-2</v>
      </c>
      <c r="G3001" s="53">
        <v>8.1675807349621942E-3</v>
      </c>
      <c r="H3001" s="131">
        <v>5.4450538233081387E-3</v>
      </c>
      <c r="I3001" s="129">
        <f t="shared" si="1009"/>
        <v>0.57927808246720414</v>
      </c>
      <c r="J3001" s="90">
        <v>1.1531111111111001</v>
      </c>
      <c r="K3001" s="129">
        <f t="shared" si="1010"/>
        <v>1.5731851851851779</v>
      </c>
      <c r="L3001" s="129">
        <f t="shared" si="1011"/>
        <v>1.9932592592592557</v>
      </c>
      <c r="M3001" s="90">
        <v>2.4133333333333336</v>
      </c>
    </row>
    <row r="3002" spans="3:13" x14ac:dyDescent="0.2">
      <c r="C3002" t="s">
        <v>1112</v>
      </c>
      <c r="E3002" s="90">
        <v>2.2361111111111112</v>
      </c>
      <c r="F3002" s="134">
        <v>2.2361111111111138</v>
      </c>
      <c r="G3002" s="90">
        <v>2.2070629981865055</v>
      </c>
      <c r="H3002" s="134">
        <v>2.2361111111111112</v>
      </c>
      <c r="I3002" s="129">
        <f t="shared" si="1009"/>
        <v>2.2361111111111125</v>
      </c>
      <c r="J3002" s="90">
        <v>2.2361111111111138</v>
      </c>
      <c r="K3002" s="129">
        <f t="shared" si="1010"/>
        <v>2.2361111111111129</v>
      </c>
      <c r="L3002" s="129">
        <f t="shared" si="1011"/>
        <v>2.236111111111112</v>
      </c>
      <c r="M3002" s="90">
        <v>2.2361111111111112</v>
      </c>
    </row>
    <row r="3003" spans="3:13" x14ac:dyDescent="0.2">
      <c r="C3003" t="s">
        <v>1113</v>
      </c>
      <c r="E3003" s="90">
        <v>0.161</v>
      </c>
      <c r="F3003" s="135">
        <v>0</v>
      </c>
      <c r="G3003" s="136">
        <v>0</v>
      </c>
      <c r="H3003" s="135">
        <v>0</v>
      </c>
      <c r="I3003" s="129">
        <f t="shared" si="1009"/>
        <v>0</v>
      </c>
      <c r="J3003" s="136">
        <v>0</v>
      </c>
      <c r="K3003" s="129">
        <f t="shared" si="1010"/>
        <v>0</v>
      </c>
      <c r="L3003" s="129">
        <f t="shared" si="1011"/>
        <v>0</v>
      </c>
      <c r="M3003" s="136">
        <v>0</v>
      </c>
    </row>
    <row r="3004" spans="3:13" x14ac:dyDescent="0.2">
      <c r="C3004" t="s">
        <v>1117</v>
      </c>
      <c r="E3004" s="136">
        <v>16.029999999999973</v>
      </c>
      <c r="F3004" s="132">
        <v>16.55099999999997</v>
      </c>
      <c r="G3004" s="136">
        <v>18.114874999999973</v>
      </c>
      <c r="H3004" s="132">
        <v>18.268750000000026</v>
      </c>
      <c r="I3004" s="129">
        <f t="shared" si="1009"/>
        <v>18.407237500000001</v>
      </c>
      <c r="J3004" s="136">
        <v>18.545724999999972</v>
      </c>
      <c r="K3004" s="129">
        <f t="shared" si="1010"/>
        <v>18.555983333333312</v>
      </c>
      <c r="L3004" s="129">
        <f t="shared" si="1011"/>
        <v>18.566241666666656</v>
      </c>
      <c r="M3004" s="136">
        <v>18.576499999999999</v>
      </c>
    </row>
    <row r="3005" spans="3:13" x14ac:dyDescent="0.2">
      <c r="C3005" t="s">
        <v>936</v>
      </c>
      <c r="E3005" s="136">
        <v>19.424800000000001</v>
      </c>
      <c r="F3005" s="132">
        <v>18.907000000000028</v>
      </c>
      <c r="G3005" s="136">
        <v>19.060875000000028</v>
      </c>
      <c r="H3005" s="132">
        <v>19.214749999999974</v>
      </c>
      <c r="I3005" s="129">
        <f t="shared" si="1009"/>
        <v>19.353237499999999</v>
      </c>
      <c r="J3005" s="136">
        <v>19.491725000000027</v>
      </c>
      <c r="K3005" s="129">
        <f t="shared" si="1010"/>
        <v>19.50198333333336</v>
      </c>
      <c r="L3005" s="129">
        <f t="shared" si="1011"/>
        <v>19.512241666666693</v>
      </c>
      <c r="M3005" s="136">
        <v>19.522500000000029</v>
      </c>
    </row>
    <row r="3006" spans="3:13" x14ac:dyDescent="0.2">
      <c r="C3006" t="s">
        <v>1118</v>
      </c>
      <c r="E3006" s="90">
        <v>1.9952000000000027</v>
      </c>
      <c r="F3006" s="134">
        <v>1.7728506434696807</v>
      </c>
      <c r="G3006" s="90">
        <v>2.3360894262416276</v>
      </c>
      <c r="H3006" s="134">
        <v>2.2638406875063137</v>
      </c>
      <c r="I3006" s="129">
        <f t="shared" si="1009"/>
        <v>2.3171758214929428</v>
      </c>
      <c r="J3006" s="90">
        <v>2.3705109554795722</v>
      </c>
      <c r="K3006" s="129">
        <f t="shared" si="1010"/>
        <v>2.3559836892369832</v>
      </c>
      <c r="L3006" s="129">
        <f t="shared" si="1011"/>
        <v>2.3414564229943942</v>
      </c>
      <c r="M3006" s="90">
        <v>2.3269291567518056</v>
      </c>
    </row>
    <row r="3007" spans="3:13" x14ac:dyDescent="0.2">
      <c r="C3007" t="s">
        <v>1111</v>
      </c>
      <c r="E3007" s="90">
        <v>-2.4940000000000002</v>
      </c>
      <c r="F3007" s="134">
        <v>-2.2160633043371027</v>
      </c>
      <c r="G3007" s="90">
        <v>-2.9201117828020275</v>
      </c>
      <c r="H3007" s="134">
        <v>-2.8298008593828885</v>
      </c>
      <c r="I3007" s="129">
        <f t="shared" si="1009"/>
        <v>-2.8964697768661805</v>
      </c>
      <c r="J3007" s="90">
        <v>-2.9631386943494724</v>
      </c>
      <c r="K3007" s="129">
        <f t="shared" si="1010"/>
        <v>-2.9449796115462314</v>
      </c>
      <c r="L3007" s="129">
        <f t="shared" si="1011"/>
        <v>-2.9268205287429905</v>
      </c>
      <c r="M3007" s="90">
        <v>-2.90866144593975</v>
      </c>
    </row>
    <row r="3008" spans="3:13" x14ac:dyDescent="0.2">
      <c r="C3008" t="s">
        <v>0</v>
      </c>
      <c r="E3008" s="136">
        <v>66.833999999999165</v>
      </c>
      <c r="F3008" s="132">
        <v>27.77777777777764</v>
      </c>
      <c r="G3008" s="136">
        <v>27.777777777778052</v>
      </c>
      <c r="H3008" s="132">
        <v>27.777777777778052</v>
      </c>
      <c r="I3008" s="129">
        <f t="shared" si="1009"/>
        <v>27.777777777777803</v>
      </c>
      <c r="J3008" s="136">
        <v>27.777777777777555</v>
      </c>
      <c r="K3008" s="129">
        <f t="shared" si="1010"/>
        <v>27.777777777777722</v>
      </c>
      <c r="L3008" s="129">
        <f t="shared" si="1011"/>
        <v>27.777777777777885</v>
      </c>
      <c r="M3008" s="136">
        <v>27.777777777778052</v>
      </c>
    </row>
    <row r="3009" spans="2:13" x14ac:dyDescent="0.2">
      <c r="C3009" t="s">
        <v>185</v>
      </c>
      <c r="E3009" s="136">
        <v>-66.313000000000272</v>
      </c>
      <c r="F3009" s="132">
        <v>-27.77777777777775</v>
      </c>
      <c r="G3009" s="136">
        <v>-27.777777777777779</v>
      </c>
      <c r="H3009" s="132">
        <v>-27.777777777777779</v>
      </c>
      <c r="I3009" s="129">
        <f t="shared" si="1009"/>
        <v>-27.777777777777708</v>
      </c>
      <c r="J3009" s="136">
        <v>-27.77777777777764</v>
      </c>
      <c r="K3009" s="129">
        <f t="shared" si="1010"/>
        <v>-27.777777777777779</v>
      </c>
      <c r="L3009" s="129">
        <f t="shared" si="1011"/>
        <v>-27.777777777777914</v>
      </c>
      <c r="M3009" s="136">
        <v>-27.777777777778052</v>
      </c>
    </row>
    <row r="3010" spans="2:13" x14ac:dyDescent="0.2">
      <c r="C3010" t="s">
        <v>1071</v>
      </c>
      <c r="E3010" s="19">
        <f>E3008+E3009</f>
        <v>0.52099999999889235</v>
      </c>
      <c r="F3010" s="19">
        <f>F3008+F3009</f>
        <v>-1.1013412404281553E-13</v>
      </c>
      <c r="G3010" s="21">
        <f t="shared" ref="G3010" si="1012">G3008+G3009</f>
        <v>2.7355895326763857E-13</v>
      </c>
      <c r="H3010" s="21">
        <f t="shared" ref="H3010" si="1013">H3008+H3009</f>
        <v>2.7355895326763857E-13</v>
      </c>
      <c r="I3010" s="129">
        <f t="shared" si="1009"/>
        <v>9.4146912488213275E-14</v>
      </c>
      <c r="J3010" s="21">
        <f t="shared" ref="J3010" si="1014">J3008+J3009</f>
        <v>-8.5265128291212022E-14</v>
      </c>
      <c r="K3010" s="129">
        <f t="shared" si="1010"/>
        <v>-5.6843418860808015E-14</v>
      </c>
      <c r="L3010" s="129">
        <f t="shared" si="1011"/>
        <v>-2.8421709430404007E-14</v>
      </c>
      <c r="M3010" s="21">
        <f t="shared" ref="M3010" si="1015">M3008+M3009</f>
        <v>0</v>
      </c>
    </row>
    <row r="3011" spans="2:13" x14ac:dyDescent="0.2">
      <c r="C3011" t="s">
        <v>1218</v>
      </c>
      <c r="E3011" s="19">
        <f>E3004+E3005+E3006+E3007</f>
        <v>34.955999999999982</v>
      </c>
      <c r="F3011" s="19">
        <f t="shared" ref="F3011:M3011" si="1016">F3004+F3005+F3006+F3007</f>
        <v>35.014787339132575</v>
      </c>
      <c r="G3011" s="19">
        <f t="shared" si="1016"/>
        <v>36.591727643439604</v>
      </c>
      <c r="H3011" s="19">
        <f t="shared" si="1016"/>
        <v>36.917539828123431</v>
      </c>
      <c r="I3011" s="19">
        <f t="shared" si="1016"/>
        <v>37.181181044626761</v>
      </c>
      <c r="J3011" s="19">
        <f t="shared" si="1016"/>
        <v>37.444822261130099</v>
      </c>
      <c r="K3011" s="19">
        <f t="shared" si="1016"/>
        <v>37.468970744357428</v>
      </c>
      <c r="L3011" s="19">
        <f t="shared" si="1016"/>
        <v>37.493119227584756</v>
      </c>
      <c r="M3011" s="19">
        <f t="shared" si="1016"/>
        <v>37.517267710812085</v>
      </c>
    </row>
    <row r="3012" spans="2:13" x14ac:dyDescent="0.2">
      <c r="C3012" t="s">
        <v>1222</v>
      </c>
      <c r="E3012" s="19">
        <f>SUM(E2994:E3009)</f>
        <v>64.1471931615024</v>
      </c>
      <c r="F3012" s="19">
        <f t="shared" ref="F3012:M3012" si="1017">SUM(F2994:F3009)</f>
        <v>63.424399704469117</v>
      </c>
      <c r="G3012" s="19">
        <f t="shared" si="1017"/>
        <v>62.585142569210582</v>
      </c>
      <c r="H3012" s="19">
        <f t="shared" si="1017"/>
        <v>61.10787834118269</v>
      </c>
      <c r="I3012" s="19">
        <f t="shared" si="1017"/>
        <v>60.664456684568485</v>
      </c>
      <c r="J3012" s="19">
        <f t="shared" si="1017"/>
        <v>60.221035027954287</v>
      </c>
      <c r="K3012" s="19">
        <f t="shared" si="1017"/>
        <v>59.086581641587209</v>
      </c>
      <c r="L3012" s="19">
        <f t="shared" si="1017"/>
        <v>57.952128255220131</v>
      </c>
      <c r="M3012" s="19">
        <f t="shared" si="1017"/>
        <v>56.817674868853061</v>
      </c>
    </row>
    <row r="3013" spans="2:13" x14ac:dyDescent="0.2">
      <c r="E3013" s="4"/>
      <c r="F3013" s="6"/>
      <c r="G3013" s="6"/>
      <c r="H3013" s="6"/>
      <c r="I3013" s="6"/>
      <c r="J3013" s="6"/>
      <c r="K3013" s="6"/>
      <c r="L3013" s="6"/>
      <c r="M3013" s="6"/>
    </row>
    <row r="3014" spans="2:13" ht="15" x14ac:dyDescent="0.25">
      <c r="B3014" s="2" t="s">
        <v>1120</v>
      </c>
    </row>
    <row r="3015" spans="2:13" ht="15" x14ac:dyDescent="0.25">
      <c r="C3015" s="13" t="s">
        <v>1097</v>
      </c>
      <c r="E3015" s="2">
        <v>2010</v>
      </c>
      <c r="F3015" s="2">
        <v>2015</v>
      </c>
      <c r="G3015" s="2">
        <v>2020</v>
      </c>
      <c r="H3015" s="2">
        <v>2025</v>
      </c>
      <c r="I3015" s="2">
        <v>2030</v>
      </c>
      <c r="J3015" s="2">
        <v>2035</v>
      </c>
      <c r="K3015" s="2">
        <v>2040</v>
      </c>
      <c r="L3015" s="2">
        <v>2045</v>
      </c>
      <c r="M3015" s="2">
        <v>2050</v>
      </c>
    </row>
    <row r="3016" spans="2:13" x14ac:dyDescent="0.2">
      <c r="C3016" t="s">
        <v>1107</v>
      </c>
      <c r="E3016" s="136">
        <v>0</v>
      </c>
      <c r="F3016" s="135">
        <v>0</v>
      </c>
      <c r="G3016" s="90">
        <v>0</v>
      </c>
      <c r="H3016" s="134">
        <v>0</v>
      </c>
      <c r="I3016" s="129">
        <f>1/2*(H3016+J3016)</f>
        <v>0</v>
      </c>
      <c r="J3016" s="90">
        <v>0</v>
      </c>
      <c r="K3016" s="129">
        <f>2/3*J3016+1/3*M3016</f>
        <v>0</v>
      </c>
      <c r="L3016" s="129">
        <f>1/3*J3016+2/3*M3016</f>
        <v>0</v>
      </c>
      <c r="M3016" s="90">
        <v>0</v>
      </c>
    </row>
    <row r="3017" spans="2:13" x14ac:dyDescent="0.2">
      <c r="C3017" t="s">
        <v>1108</v>
      </c>
      <c r="E3017" s="90">
        <v>0.90183000000000002</v>
      </c>
      <c r="F3017" s="134">
        <v>0.73177680934039446</v>
      </c>
      <c r="G3017" s="90">
        <v>0.54883260700529446</v>
      </c>
      <c r="H3017" s="134">
        <v>0.28308356736124163</v>
      </c>
      <c r="I3017" s="129">
        <f t="shared" ref="I3017:I3032" si="1018">1/2*(H3017+J3017)</f>
        <v>0.15535409136703038</v>
      </c>
      <c r="J3017" s="90">
        <v>2.7624615372819111E-2</v>
      </c>
      <c r="K3017" s="129">
        <f t="shared" ref="K3017:K3032" si="1019">2/3*J3017+1/3*M3017</f>
        <v>1.8416410248546074E-2</v>
      </c>
      <c r="L3017" s="129">
        <f t="shared" ref="L3017:L3032" si="1020">1/3*J3017+2/3*M3017</f>
        <v>9.2082051242730369E-3</v>
      </c>
      <c r="M3017" s="136">
        <v>0</v>
      </c>
    </row>
    <row r="3018" spans="2:13" x14ac:dyDescent="0.2">
      <c r="C3018" t="s">
        <v>1109</v>
      </c>
      <c r="E3018" s="133">
        <v>2.1750868754721359E-3</v>
      </c>
      <c r="F3018" s="135">
        <v>0</v>
      </c>
      <c r="G3018" s="136">
        <v>0</v>
      </c>
      <c r="H3018" s="135">
        <v>0</v>
      </c>
      <c r="I3018" s="129">
        <f t="shared" si="1018"/>
        <v>0</v>
      </c>
      <c r="J3018" s="136">
        <v>0</v>
      </c>
      <c r="K3018" s="129">
        <f t="shared" si="1019"/>
        <v>0</v>
      </c>
      <c r="L3018" s="129">
        <f t="shared" si="1020"/>
        <v>0</v>
      </c>
      <c r="M3018" s="136">
        <v>0</v>
      </c>
    </row>
    <row r="3019" spans="2:13" x14ac:dyDescent="0.2">
      <c r="C3019" t="s">
        <v>935</v>
      </c>
      <c r="E3019" s="136">
        <v>25.205199999999998</v>
      </c>
      <c r="F3019" s="132">
        <v>26.495000000000029</v>
      </c>
      <c r="G3019" s="136">
        <v>22.834200000000028</v>
      </c>
      <c r="H3019" s="132">
        <v>17.398</v>
      </c>
      <c r="I3019" s="129">
        <f t="shared" si="1018"/>
        <v>10.654208333333333</v>
      </c>
      <c r="J3019" s="90">
        <v>3.9104166666666669</v>
      </c>
      <c r="K3019" s="129">
        <f t="shared" si="1019"/>
        <v>2.6069444444444443</v>
      </c>
      <c r="L3019" s="129">
        <f t="shared" si="1020"/>
        <v>1.3034722222222221</v>
      </c>
      <c r="M3019" s="136">
        <v>0</v>
      </c>
    </row>
    <row r="3020" spans="2:13" x14ac:dyDescent="0.2">
      <c r="C3020" t="s">
        <v>1110</v>
      </c>
      <c r="E3020" s="90">
        <v>0.10696586875472194</v>
      </c>
      <c r="F3020" s="135">
        <v>0</v>
      </c>
      <c r="G3020" s="136">
        <v>0</v>
      </c>
      <c r="H3020" s="135">
        <v>0</v>
      </c>
      <c r="I3020" s="129">
        <f t="shared" si="1018"/>
        <v>0</v>
      </c>
      <c r="J3020" s="90">
        <v>0</v>
      </c>
      <c r="K3020" s="129">
        <f t="shared" si="1019"/>
        <v>0</v>
      </c>
      <c r="L3020" s="129">
        <f t="shared" si="1020"/>
        <v>0</v>
      </c>
      <c r="M3020" s="136">
        <v>0</v>
      </c>
    </row>
    <row r="3021" spans="2:13" x14ac:dyDescent="0.2">
      <c r="C3021" t="s">
        <v>1034</v>
      </c>
      <c r="E3021" s="136">
        <v>0</v>
      </c>
      <c r="F3021" s="135">
        <v>0</v>
      </c>
      <c r="G3021" s="136">
        <v>0</v>
      </c>
      <c r="H3021" s="135">
        <v>0</v>
      </c>
      <c r="I3021" s="129">
        <f t="shared" si="1018"/>
        <v>0.51519799999999993</v>
      </c>
      <c r="J3021" s="136">
        <v>1.0303959999999999</v>
      </c>
      <c r="K3021" s="129">
        <f t="shared" si="1019"/>
        <v>1.9999597777777776</v>
      </c>
      <c r="L3021" s="129">
        <f t="shared" si="1020"/>
        <v>2.969523555555555</v>
      </c>
      <c r="M3021" s="90">
        <v>3.9390873333333332</v>
      </c>
    </row>
    <row r="3022" spans="2:13" x14ac:dyDescent="0.2">
      <c r="C3022" t="s">
        <v>7</v>
      </c>
      <c r="E3022" s="53">
        <v>4.3298460203975001E-2</v>
      </c>
      <c r="F3022" s="131">
        <v>3.4638768163179998E-2</v>
      </c>
      <c r="G3022" s="53">
        <v>2.597907612238497E-2</v>
      </c>
      <c r="H3022" s="131">
        <v>1.7319384081589971E-2</v>
      </c>
      <c r="I3022" s="129">
        <f t="shared" si="1018"/>
        <v>2.6749389699563091</v>
      </c>
      <c r="J3022" s="90">
        <v>5.332558555831028</v>
      </c>
      <c r="K3022" s="129">
        <f t="shared" si="1019"/>
        <v>6.6270975073452592</v>
      </c>
      <c r="L3022" s="129">
        <f t="shared" si="1020"/>
        <v>7.9216364588594903</v>
      </c>
      <c r="M3022" s="90">
        <v>9.2161754103737223</v>
      </c>
    </row>
    <row r="3023" spans="2:13" x14ac:dyDescent="0.2">
      <c r="C3023" t="s">
        <v>8</v>
      </c>
      <c r="E3023" s="53">
        <v>1.3612634558270335E-2</v>
      </c>
      <c r="F3023" s="131">
        <v>1.0890107646616305E-2</v>
      </c>
      <c r="G3023" s="53">
        <v>8.1675807349621942E-3</v>
      </c>
      <c r="H3023" s="131">
        <v>5.4450538233081387E-3</v>
      </c>
      <c r="I3023" s="129">
        <f t="shared" si="1018"/>
        <v>0.57927808246720414</v>
      </c>
      <c r="J3023" s="90">
        <v>1.1531111111111001</v>
      </c>
      <c r="K3023" s="129">
        <f t="shared" si="1019"/>
        <v>1.5731851851851779</v>
      </c>
      <c r="L3023" s="129">
        <f t="shared" si="1020"/>
        <v>1.9932592592592557</v>
      </c>
      <c r="M3023" s="90">
        <v>2.4133333333333336</v>
      </c>
    </row>
    <row r="3024" spans="2:13" x14ac:dyDescent="0.2">
      <c r="C3024" t="s">
        <v>1112</v>
      </c>
      <c r="E3024" s="90">
        <v>2.2361111111111112</v>
      </c>
      <c r="F3024" s="134">
        <v>2.2361111111111138</v>
      </c>
      <c r="G3024" s="90">
        <v>2.2070629981865055</v>
      </c>
      <c r="H3024" s="134">
        <v>2.2361111111111112</v>
      </c>
      <c r="I3024" s="129">
        <f t="shared" si="1018"/>
        <v>2.2361111111111138</v>
      </c>
      <c r="J3024" s="90">
        <v>2.2361111111111165</v>
      </c>
      <c r="K3024" s="129">
        <f t="shared" si="1019"/>
        <v>2.2361111111111147</v>
      </c>
      <c r="L3024" s="129">
        <f t="shared" si="1020"/>
        <v>2.2361111111111129</v>
      </c>
      <c r="M3024" s="90">
        <v>2.2361111111111112</v>
      </c>
    </row>
    <row r="3025" spans="2:13" x14ac:dyDescent="0.2">
      <c r="C3025" t="s">
        <v>1113</v>
      </c>
      <c r="E3025" s="90">
        <v>0.161</v>
      </c>
      <c r="F3025" s="135">
        <v>0</v>
      </c>
      <c r="G3025" s="136">
        <v>0</v>
      </c>
      <c r="H3025" s="135">
        <v>0</v>
      </c>
      <c r="I3025" s="129">
        <f t="shared" si="1018"/>
        <v>0.50587885943361532</v>
      </c>
      <c r="J3025" s="136">
        <v>1.0117577188672306</v>
      </c>
      <c r="K3025" s="129">
        <f t="shared" si="1019"/>
        <v>1.0154907969115592</v>
      </c>
      <c r="L3025" s="129">
        <f t="shared" si="1020"/>
        <v>1.019223874955888</v>
      </c>
      <c r="M3025" s="136">
        <v>1.0229569530002167</v>
      </c>
    </row>
    <row r="3026" spans="2:13" x14ac:dyDescent="0.2">
      <c r="C3026" t="s">
        <v>1117</v>
      </c>
      <c r="E3026" s="136">
        <v>16.029999999999973</v>
      </c>
      <c r="F3026" s="132">
        <v>16.55099999999997</v>
      </c>
      <c r="G3026" s="136">
        <v>18.114874999999973</v>
      </c>
      <c r="H3026" s="132">
        <v>18.268750000000026</v>
      </c>
      <c r="I3026" s="129">
        <f t="shared" si="1018"/>
        <v>18.407237500000001</v>
      </c>
      <c r="J3026" s="136">
        <v>18.545724999999972</v>
      </c>
      <c r="K3026" s="129">
        <f t="shared" si="1019"/>
        <v>18.555983333333312</v>
      </c>
      <c r="L3026" s="129">
        <f t="shared" si="1020"/>
        <v>18.566241666666656</v>
      </c>
      <c r="M3026" s="136">
        <v>18.576499999999999</v>
      </c>
    </row>
    <row r="3027" spans="2:13" x14ac:dyDescent="0.2">
      <c r="C3027" t="s">
        <v>936</v>
      </c>
      <c r="E3027" s="136">
        <v>19.424800000000001</v>
      </c>
      <c r="F3027" s="132">
        <v>18.907000000000028</v>
      </c>
      <c r="G3027" s="136">
        <v>19.060874999999999</v>
      </c>
      <c r="H3027" s="132">
        <v>19.214749999999974</v>
      </c>
      <c r="I3027" s="129">
        <f t="shared" si="1018"/>
        <v>19.353237499999999</v>
      </c>
      <c r="J3027" s="136">
        <v>19.491725000000027</v>
      </c>
      <c r="K3027" s="129">
        <f t="shared" si="1019"/>
        <v>19.501983333333349</v>
      </c>
      <c r="L3027" s="129">
        <f t="shared" si="1020"/>
        <v>19.512241666666675</v>
      </c>
      <c r="M3027" s="136">
        <v>19.522500000000001</v>
      </c>
    </row>
    <row r="3028" spans="2:13" x14ac:dyDescent="0.2">
      <c r="C3028" t="s">
        <v>1118</v>
      </c>
      <c r="E3028" s="90">
        <v>1.9952000000000027</v>
      </c>
      <c r="F3028" s="134">
        <v>0.9985327129206194</v>
      </c>
      <c r="G3028" s="90">
        <v>1.3236547203684028</v>
      </c>
      <c r="H3028" s="134">
        <v>1.3043185308142862</v>
      </c>
      <c r="I3028" s="129">
        <f t="shared" si="1018"/>
        <v>0.92883642593941251</v>
      </c>
      <c r="J3028" s="90">
        <v>0.55335432106453886</v>
      </c>
      <c r="K3028" s="129">
        <f t="shared" si="1019"/>
        <v>0.51422191046700461</v>
      </c>
      <c r="L3028" s="129">
        <f t="shared" si="1020"/>
        <v>0.47508949986947036</v>
      </c>
      <c r="M3028" s="90">
        <v>0.4359570892719361</v>
      </c>
    </row>
    <row r="3029" spans="2:13" x14ac:dyDescent="0.2">
      <c r="C3029" t="s">
        <v>1111</v>
      </c>
      <c r="E3029" s="90">
        <v>-2.4940000000000002</v>
      </c>
      <c r="F3029" s="134">
        <v>-1.2481658911507749</v>
      </c>
      <c r="G3029" s="90">
        <v>-1.6545684004605055</v>
      </c>
      <c r="H3029" s="134">
        <v>-1.6303981635178584</v>
      </c>
      <c r="I3029" s="129">
        <f t="shared" si="1018"/>
        <v>-1.1610455324242666</v>
      </c>
      <c r="J3029" s="90">
        <v>-0.69169290133067496</v>
      </c>
      <c r="K3029" s="129">
        <f t="shared" si="1019"/>
        <v>-0.6427773880837564</v>
      </c>
      <c r="L3029" s="129">
        <f t="shared" si="1020"/>
        <v>-0.59386187483683794</v>
      </c>
      <c r="M3029" s="90">
        <v>-0.54494636158991949</v>
      </c>
    </row>
    <row r="3030" spans="2:13" x14ac:dyDescent="0.2">
      <c r="C3030" t="s">
        <v>0</v>
      </c>
      <c r="E3030" s="136">
        <v>66.833999999999165</v>
      </c>
      <c r="F3030" s="132">
        <v>26.485393864211137</v>
      </c>
      <c r="G3030" s="136">
        <v>27.777777777778052</v>
      </c>
      <c r="H3030" s="132">
        <v>27.77777777777775</v>
      </c>
      <c r="I3030" s="129">
        <f t="shared" si="1018"/>
        <v>27.777777777777764</v>
      </c>
      <c r="J3030" s="136">
        <v>27.777777777777779</v>
      </c>
      <c r="K3030" s="129">
        <f t="shared" si="1019"/>
        <v>27.777777777777779</v>
      </c>
      <c r="L3030" s="129">
        <f t="shared" si="1020"/>
        <v>27.777777777777779</v>
      </c>
      <c r="M3030" s="136">
        <v>27.777777777777779</v>
      </c>
    </row>
    <row r="3031" spans="2:13" x14ac:dyDescent="0.2">
      <c r="C3031" t="s">
        <v>185</v>
      </c>
      <c r="E3031" s="136">
        <v>-66.313000000000272</v>
      </c>
      <c r="F3031" s="132">
        <v>-27.777777777777779</v>
      </c>
      <c r="G3031" s="136">
        <v>-27.66171379053775</v>
      </c>
      <c r="H3031" s="132">
        <v>-23.767278920282191</v>
      </c>
      <c r="I3031" s="129">
        <f t="shared" si="1018"/>
        <v>-21.962554434409121</v>
      </c>
      <c r="J3031" s="136">
        <v>-20.157829948536055</v>
      </c>
      <c r="K3031" s="129">
        <f t="shared" si="1019"/>
        <v>-22.697812558283296</v>
      </c>
      <c r="L3031" s="129">
        <f t="shared" si="1020"/>
        <v>-25.237795168030537</v>
      </c>
      <c r="M3031" s="136">
        <v>-27.777777777777779</v>
      </c>
    </row>
    <row r="3032" spans="2:13" x14ac:dyDescent="0.2">
      <c r="C3032" t="s">
        <v>1071</v>
      </c>
      <c r="E3032" s="19">
        <f>E3030+E3031</f>
        <v>0.52099999999889235</v>
      </c>
      <c r="F3032" s="19">
        <f>F3030+F3031</f>
        <v>-1.292383913566642</v>
      </c>
      <c r="G3032" s="21">
        <f t="shared" ref="G3032" si="1021">G3030+G3031</f>
        <v>0.11606398724030242</v>
      </c>
      <c r="H3032" s="21">
        <f t="shared" ref="H3032" si="1022">H3030+H3031</f>
        <v>4.0104988574955591</v>
      </c>
      <c r="I3032" s="129">
        <f t="shared" si="1018"/>
        <v>5.8152233433686416</v>
      </c>
      <c r="J3032" s="21">
        <f t="shared" ref="J3032" si="1023">J3030+J3031</f>
        <v>7.619947829241724</v>
      </c>
      <c r="K3032" s="129">
        <f t="shared" si="1019"/>
        <v>5.0799652194944827</v>
      </c>
      <c r="L3032" s="129">
        <f t="shared" si="1020"/>
        <v>2.5399826097472413</v>
      </c>
      <c r="M3032" s="21">
        <f t="shared" ref="M3032" si="1024">M3030+M3031</f>
        <v>0</v>
      </c>
    </row>
    <row r="3033" spans="2:13" x14ac:dyDescent="0.2">
      <c r="C3033" t="s">
        <v>1218</v>
      </c>
      <c r="E3033" s="19">
        <f>E3026+E3027+E3028+E3029</f>
        <v>34.955999999999982</v>
      </c>
      <c r="F3033" s="19">
        <f t="shared" ref="F3033:M3033" si="1025">F3026+F3027+F3028+F3029</f>
        <v>35.208366821769843</v>
      </c>
      <c r="G3033" s="19">
        <f t="shared" si="1025"/>
        <v>36.84483631990787</v>
      </c>
      <c r="H3033" s="19">
        <f t="shared" si="1025"/>
        <v>37.157420367296425</v>
      </c>
      <c r="I3033" s="19">
        <f t="shared" si="1025"/>
        <v>37.528265893515147</v>
      </c>
      <c r="J3033" s="19">
        <f t="shared" si="1025"/>
        <v>37.899111419733863</v>
      </c>
      <c r="K3033" s="19">
        <f t="shared" si="1025"/>
        <v>37.929411189049908</v>
      </c>
      <c r="L3033" s="19">
        <f t="shared" si="1025"/>
        <v>37.95971095836596</v>
      </c>
      <c r="M3033" s="19">
        <f t="shared" si="1025"/>
        <v>37.990010727682019</v>
      </c>
    </row>
    <row r="3034" spans="2:13" x14ac:dyDescent="0.2">
      <c r="C3034" t="s">
        <v>1222</v>
      </c>
      <c r="E3034" s="19">
        <f>SUM(E3016:E3031)</f>
        <v>64.1471931615024</v>
      </c>
      <c r="F3034" s="19">
        <f t="shared" ref="F3034:M3034" si="1026">SUM(F3016:F3031)</f>
        <v>63.424399704464527</v>
      </c>
      <c r="G3034" s="19">
        <f t="shared" si="1026"/>
        <v>62.585142569197359</v>
      </c>
      <c r="H3034" s="19">
        <f t="shared" si="1026"/>
        <v>61.107878341169226</v>
      </c>
      <c r="I3034" s="19">
        <f t="shared" si="1026"/>
        <v>60.664456684552398</v>
      </c>
      <c r="J3034" s="19">
        <f t="shared" si="1026"/>
        <v>60.221035027935535</v>
      </c>
      <c r="K3034" s="19">
        <f t="shared" si="1026"/>
        <v>59.086581641568266</v>
      </c>
      <c r="L3034" s="19">
        <f t="shared" si="1026"/>
        <v>57.952128255200996</v>
      </c>
      <c r="M3034" s="19">
        <f t="shared" si="1026"/>
        <v>56.817674868833727</v>
      </c>
    </row>
    <row r="3035" spans="2:13" x14ac:dyDescent="0.2">
      <c r="E3035" s="125"/>
      <c r="F3035" s="125"/>
      <c r="G3035" s="125"/>
      <c r="H3035" s="125"/>
    </row>
    <row r="3036" spans="2:13" ht="15" x14ac:dyDescent="0.25">
      <c r="B3036" s="2" t="s">
        <v>1121</v>
      </c>
    </row>
    <row r="3037" spans="2:13" ht="15" x14ac:dyDescent="0.25">
      <c r="C3037" s="13" t="s">
        <v>1097</v>
      </c>
      <c r="E3037" s="2">
        <v>2010</v>
      </c>
      <c r="F3037" s="2">
        <v>2015</v>
      </c>
      <c r="G3037" s="2">
        <v>2020</v>
      </c>
      <c r="H3037" s="2">
        <v>2025</v>
      </c>
      <c r="I3037" s="2">
        <v>2030</v>
      </c>
      <c r="J3037" s="2">
        <v>2035</v>
      </c>
      <c r="K3037" s="2">
        <v>2040</v>
      </c>
      <c r="L3037" s="2">
        <v>2045</v>
      </c>
      <c r="M3037" s="2">
        <v>2050</v>
      </c>
    </row>
    <row r="3038" spans="2:13" x14ac:dyDescent="0.2">
      <c r="C3038" t="s">
        <v>1107</v>
      </c>
      <c r="E3038" s="136">
        <v>0</v>
      </c>
      <c r="F3038" s="135">
        <v>0</v>
      </c>
      <c r="G3038" s="90">
        <v>0.36917266372152219</v>
      </c>
      <c r="H3038" s="134">
        <v>3.96</v>
      </c>
      <c r="I3038" s="129">
        <f>1/2*(H3038+J3038)</f>
        <v>1.98</v>
      </c>
      <c r="J3038" s="90">
        <v>0</v>
      </c>
      <c r="K3038" s="129">
        <f>2/3*J3038+1/3*M3038</f>
        <v>0</v>
      </c>
      <c r="L3038" s="129">
        <f>1/3*J3038+2/3*M3038</f>
        <v>0</v>
      </c>
      <c r="M3038" s="90">
        <v>0</v>
      </c>
    </row>
    <row r="3039" spans="2:13" x14ac:dyDescent="0.2">
      <c r="C3039" t="s">
        <v>1108</v>
      </c>
      <c r="E3039" s="90">
        <v>0.90183000000000002</v>
      </c>
      <c r="F3039" s="135">
        <v>0</v>
      </c>
      <c r="G3039" s="90">
        <v>0.54883260700529446</v>
      </c>
      <c r="H3039" s="134">
        <v>0.36588840467019723</v>
      </c>
      <c r="I3039" s="129">
        <f t="shared" ref="I3039:I3054" si="1027">1/2*(H3039+J3039)</f>
        <v>0.18294420233509862</v>
      </c>
      <c r="J3039" s="90">
        <v>0</v>
      </c>
      <c r="K3039" s="129">
        <f t="shared" ref="K3039:K3054" si="1028">2/3*J3039+1/3*M3039</f>
        <v>0</v>
      </c>
      <c r="L3039" s="129">
        <f t="shared" ref="L3039:L3054" si="1029">1/3*J3039+2/3*M3039</f>
        <v>0</v>
      </c>
      <c r="M3039" s="136">
        <v>0</v>
      </c>
    </row>
    <row r="3040" spans="2:13" x14ac:dyDescent="0.2">
      <c r="C3040" t="s">
        <v>1109</v>
      </c>
      <c r="E3040" s="133">
        <v>2.1750868754721359E-3</v>
      </c>
      <c r="F3040" s="135">
        <v>0</v>
      </c>
      <c r="G3040" s="136">
        <v>0</v>
      </c>
      <c r="H3040" s="135">
        <v>0</v>
      </c>
      <c r="I3040" s="129">
        <f t="shared" si="1027"/>
        <v>0</v>
      </c>
      <c r="J3040" s="136">
        <v>0</v>
      </c>
      <c r="K3040" s="129">
        <f t="shared" si="1028"/>
        <v>0</v>
      </c>
      <c r="L3040" s="129">
        <f t="shared" si="1029"/>
        <v>0</v>
      </c>
      <c r="M3040" s="136">
        <v>0</v>
      </c>
    </row>
    <row r="3041" spans="3:13" x14ac:dyDescent="0.2">
      <c r="C3041" t="s">
        <v>935</v>
      </c>
      <c r="E3041" s="136">
        <v>25.205199999999998</v>
      </c>
      <c r="F3041" s="132">
        <v>26.127972378415247</v>
      </c>
      <c r="G3041" s="136">
        <v>22.834200000000028</v>
      </c>
      <c r="H3041" s="132">
        <v>17.398</v>
      </c>
      <c r="I3041" s="129">
        <f t="shared" si="1027"/>
        <v>20.489065791753191</v>
      </c>
      <c r="J3041" s="90">
        <v>23.580131583506386</v>
      </c>
      <c r="K3041" s="129">
        <f t="shared" si="1028"/>
        <v>22.402784952536738</v>
      </c>
      <c r="L3041" s="129">
        <f t="shared" si="1029"/>
        <v>21.22543832156709</v>
      </c>
      <c r="M3041" s="136">
        <v>20.048091690597445</v>
      </c>
    </row>
    <row r="3042" spans="3:13" x14ac:dyDescent="0.2">
      <c r="C3042" t="s">
        <v>1110</v>
      </c>
      <c r="E3042" s="90">
        <v>0.10696586875472194</v>
      </c>
      <c r="F3042" s="135">
        <v>0</v>
      </c>
      <c r="G3042" s="136">
        <v>0</v>
      </c>
      <c r="H3042" s="135">
        <v>0</v>
      </c>
      <c r="I3042" s="129">
        <f t="shared" si="1027"/>
        <v>0</v>
      </c>
      <c r="J3042" s="90">
        <v>0</v>
      </c>
      <c r="K3042" s="129">
        <f t="shared" si="1028"/>
        <v>0</v>
      </c>
      <c r="L3042" s="129">
        <f t="shared" si="1029"/>
        <v>0</v>
      </c>
      <c r="M3042" s="136">
        <v>0</v>
      </c>
    </row>
    <row r="3043" spans="3:13" x14ac:dyDescent="0.2">
      <c r="C3043" t="s">
        <v>1034</v>
      </c>
      <c r="E3043" s="136">
        <v>0</v>
      </c>
      <c r="F3043" s="135">
        <v>0</v>
      </c>
      <c r="G3043" s="136">
        <v>0</v>
      </c>
      <c r="H3043" s="135">
        <v>0</v>
      </c>
      <c r="I3043" s="129">
        <f t="shared" si="1027"/>
        <v>0</v>
      </c>
      <c r="J3043" s="136">
        <v>0</v>
      </c>
      <c r="K3043" s="129">
        <f t="shared" si="1028"/>
        <v>0</v>
      </c>
      <c r="L3043" s="129">
        <f t="shared" si="1029"/>
        <v>0</v>
      </c>
      <c r="M3043" s="90">
        <v>0</v>
      </c>
    </row>
    <row r="3044" spans="3:13" x14ac:dyDescent="0.2">
      <c r="C3044" t="s">
        <v>7</v>
      </c>
      <c r="E3044" s="53">
        <v>4.3298460203975001E-2</v>
      </c>
      <c r="F3044" s="131">
        <v>3.4638768163179998E-2</v>
      </c>
      <c r="G3044" s="53">
        <v>2.597907612238497E-2</v>
      </c>
      <c r="H3044" s="131">
        <v>1.7319384081589971E-2</v>
      </c>
      <c r="I3044" s="129">
        <f t="shared" si="1027"/>
        <v>9.4296333867621082E-3</v>
      </c>
      <c r="J3044" s="90">
        <v>1.5398826919342443E-3</v>
      </c>
      <c r="K3044" s="129">
        <f t="shared" si="1028"/>
        <v>1.0265884612894961E-3</v>
      </c>
      <c r="L3044" s="129">
        <f t="shared" si="1029"/>
        <v>5.1329423064474806E-4</v>
      </c>
      <c r="M3044" s="90">
        <v>0</v>
      </c>
    </row>
    <row r="3045" spans="3:13" x14ac:dyDescent="0.2">
      <c r="C3045" t="s">
        <v>8</v>
      </c>
      <c r="E3045" s="53">
        <v>1.3612634558270335E-2</v>
      </c>
      <c r="F3045" s="131">
        <v>1.0890107646616305E-2</v>
      </c>
      <c r="G3045" s="53">
        <v>8.1675807349621942E-3</v>
      </c>
      <c r="H3045" s="131">
        <v>5.4450538233081387E-3</v>
      </c>
      <c r="I3045" s="129">
        <f t="shared" si="1027"/>
        <v>2.9628072324903942E-3</v>
      </c>
      <c r="J3045" s="130">
        <v>4.8056064167264996E-4</v>
      </c>
      <c r="K3045" s="129">
        <f t="shared" si="1028"/>
        <v>3.2037376111509997E-4</v>
      </c>
      <c r="L3045" s="129">
        <f t="shared" si="1029"/>
        <v>1.6018688055754999E-4</v>
      </c>
      <c r="M3045" s="90">
        <v>0</v>
      </c>
    </row>
    <row r="3046" spans="3:13" x14ac:dyDescent="0.2">
      <c r="C3046" t="s">
        <v>1112</v>
      </c>
      <c r="E3046" s="90">
        <v>2.2361111111111112</v>
      </c>
      <c r="F3046" s="134">
        <v>2.2361111111111138</v>
      </c>
      <c r="G3046" s="90">
        <v>2.2070629981865055</v>
      </c>
      <c r="H3046" s="134">
        <v>2.2361111111111112</v>
      </c>
      <c r="I3046" s="129">
        <f t="shared" si="1027"/>
        <v>1.8669135122450555</v>
      </c>
      <c r="J3046" s="90">
        <v>1.4977159133790001</v>
      </c>
      <c r="K3046" s="129">
        <f t="shared" si="1028"/>
        <v>1.4706994978082222</v>
      </c>
      <c r="L3046" s="129">
        <f t="shared" si="1029"/>
        <v>1.4436830822374445</v>
      </c>
      <c r="M3046" s="90">
        <v>1.4166666666666665</v>
      </c>
    </row>
    <row r="3047" spans="3:13" x14ac:dyDescent="0.2">
      <c r="C3047" t="s">
        <v>1113</v>
      </c>
      <c r="E3047" s="90">
        <v>0.161</v>
      </c>
      <c r="F3047" s="135">
        <v>0</v>
      </c>
      <c r="G3047" s="136">
        <v>0</v>
      </c>
      <c r="H3047" s="135">
        <v>0</v>
      </c>
      <c r="I3047" s="129">
        <f t="shared" si="1027"/>
        <v>0</v>
      </c>
      <c r="J3047" s="136">
        <v>0</v>
      </c>
      <c r="K3047" s="129">
        <f t="shared" si="1028"/>
        <v>0</v>
      </c>
      <c r="L3047" s="129">
        <f t="shared" si="1029"/>
        <v>0</v>
      </c>
      <c r="M3047" s="136">
        <v>0</v>
      </c>
    </row>
    <row r="3048" spans="3:13" x14ac:dyDescent="0.2">
      <c r="C3048" t="s">
        <v>1117</v>
      </c>
      <c r="E3048" s="136">
        <v>16.029999999999973</v>
      </c>
      <c r="F3048" s="132">
        <v>16.55099999999997</v>
      </c>
      <c r="G3048" s="136">
        <v>18.114874999999973</v>
      </c>
      <c r="H3048" s="132">
        <v>18.268750000000026</v>
      </c>
      <c r="I3048" s="129">
        <f t="shared" si="1027"/>
        <v>18.407237500000001</v>
      </c>
      <c r="J3048" s="136">
        <v>18.545724999999972</v>
      </c>
      <c r="K3048" s="129">
        <f t="shared" si="1028"/>
        <v>18.555983333333312</v>
      </c>
      <c r="L3048" s="129">
        <f t="shared" si="1029"/>
        <v>18.566241666666656</v>
      </c>
      <c r="M3048" s="136">
        <v>18.576499999999999</v>
      </c>
    </row>
    <row r="3049" spans="3:13" x14ac:dyDescent="0.2">
      <c r="C3049" t="s">
        <v>936</v>
      </c>
      <c r="E3049" s="136">
        <v>19.424800000000001</v>
      </c>
      <c r="F3049" s="132">
        <v>18.907000000000028</v>
      </c>
      <c r="G3049" s="136">
        <v>19.060875000000028</v>
      </c>
      <c r="H3049" s="132">
        <v>19.214749999999974</v>
      </c>
      <c r="I3049" s="129">
        <f t="shared" si="1027"/>
        <v>19.35323749999997</v>
      </c>
      <c r="J3049" s="136">
        <v>19.49172499999997</v>
      </c>
      <c r="K3049" s="129">
        <f t="shared" si="1028"/>
        <v>19.501983333333314</v>
      </c>
      <c r="L3049" s="129">
        <f t="shared" si="1029"/>
        <v>19.512241666666657</v>
      </c>
      <c r="M3049" s="136">
        <v>19.522500000000001</v>
      </c>
    </row>
    <row r="3050" spans="3:13" x14ac:dyDescent="0.2">
      <c r="C3050" t="s">
        <v>1118</v>
      </c>
      <c r="E3050" s="90">
        <v>1.9952000000000027</v>
      </c>
      <c r="F3050" s="134">
        <v>1.7728506434643554</v>
      </c>
      <c r="G3050" s="90">
        <v>2.3360894262416303</v>
      </c>
      <c r="H3050" s="134">
        <v>1.4335424500501499</v>
      </c>
      <c r="I3050" s="129">
        <f t="shared" si="1027"/>
        <v>3.8214112249977834</v>
      </c>
      <c r="J3050" s="90">
        <v>6.2092799999454167</v>
      </c>
      <c r="K3050" s="129">
        <f t="shared" si="1028"/>
        <v>6.2406399999451008</v>
      </c>
      <c r="L3050" s="129">
        <f t="shared" si="1029"/>
        <v>6.2719999999447857</v>
      </c>
      <c r="M3050" s="90">
        <v>6.3033599999444716</v>
      </c>
    </row>
    <row r="3051" spans="3:13" x14ac:dyDescent="0.2">
      <c r="C3051" t="s">
        <v>1111</v>
      </c>
      <c r="E3051" s="90">
        <v>-2.4940000000000002</v>
      </c>
      <c r="F3051" s="134">
        <v>-2.2160633043304445</v>
      </c>
      <c r="G3051" s="90">
        <v>-2.9201117828020275</v>
      </c>
      <c r="H3051" s="134">
        <v>-1.7919280625626861</v>
      </c>
      <c r="I3051" s="129">
        <f t="shared" si="1027"/>
        <v>-4.7767640312472182</v>
      </c>
      <c r="J3051" s="90">
        <v>-7.7615999999317502</v>
      </c>
      <c r="K3051" s="129">
        <f t="shared" si="1028"/>
        <v>-7.8007999999313515</v>
      </c>
      <c r="L3051" s="129">
        <f t="shared" si="1029"/>
        <v>-7.8399999999309529</v>
      </c>
      <c r="M3051" s="90">
        <v>-7.8791999999305551</v>
      </c>
    </row>
    <row r="3052" spans="3:13" x14ac:dyDescent="0.2">
      <c r="C3052" t="s">
        <v>0</v>
      </c>
      <c r="E3052" s="136">
        <v>66.833999999999165</v>
      </c>
      <c r="F3052" s="132">
        <v>27.777777777777722</v>
      </c>
      <c r="G3052" s="136">
        <v>27.777777777777779</v>
      </c>
      <c r="H3052" s="132">
        <v>27.777777777777779</v>
      </c>
      <c r="I3052" s="129">
        <f t="shared" si="1027"/>
        <v>27.777777777777914</v>
      </c>
      <c r="J3052" s="136">
        <v>27.777777777778052</v>
      </c>
      <c r="K3052" s="129">
        <f t="shared" si="1028"/>
        <v>27.77777777777796</v>
      </c>
      <c r="L3052" s="129">
        <f t="shared" si="1029"/>
        <v>27.777777777777871</v>
      </c>
      <c r="M3052" s="136">
        <v>27.777777777777779</v>
      </c>
    </row>
    <row r="3053" spans="3:13" x14ac:dyDescent="0.2">
      <c r="C3053" t="s">
        <v>185</v>
      </c>
      <c r="E3053" s="136">
        <v>-66.313000000000272</v>
      </c>
      <c r="F3053" s="132">
        <v>-27.777777777777779</v>
      </c>
      <c r="G3053" s="136">
        <v>-27.777777777777665</v>
      </c>
      <c r="H3053" s="132">
        <v>-27.777777777777779</v>
      </c>
      <c r="I3053" s="129">
        <f t="shared" si="1027"/>
        <v>-27.777777777777736</v>
      </c>
      <c r="J3053" s="136">
        <v>-27.777777777777693</v>
      </c>
      <c r="K3053" s="129">
        <f t="shared" si="1028"/>
        <v>-27.777777777777814</v>
      </c>
      <c r="L3053" s="129">
        <f t="shared" si="1029"/>
        <v>-27.777777777777931</v>
      </c>
      <c r="M3053" s="136">
        <v>-27.777777777778052</v>
      </c>
    </row>
    <row r="3054" spans="3:13" x14ac:dyDescent="0.2">
      <c r="C3054" t="s">
        <v>1071</v>
      </c>
      <c r="E3054" s="19">
        <f>E3052+E3053</f>
        <v>0.52099999999889235</v>
      </c>
      <c r="F3054" s="19">
        <f>F3052+F3053</f>
        <v>-5.6843418860808015E-14</v>
      </c>
      <c r="G3054" s="21">
        <f t="shared" ref="G3054" si="1030">G3052+G3053</f>
        <v>1.1368683772161603E-13</v>
      </c>
      <c r="H3054" s="21">
        <f t="shared" ref="H3054" si="1031">H3052+H3053</f>
        <v>0</v>
      </c>
      <c r="I3054" s="129">
        <f t="shared" si="1027"/>
        <v>1.794120407794253E-13</v>
      </c>
      <c r="J3054" s="21">
        <f t="shared" ref="J3054" si="1032">J3052+J3053</f>
        <v>3.5882408155885059E-13</v>
      </c>
      <c r="K3054" s="129">
        <f t="shared" si="1028"/>
        <v>1.4802973661668753E-13</v>
      </c>
      <c r="L3054" s="129">
        <f t="shared" si="1029"/>
        <v>-6.2764608325475508E-14</v>
      </c>
      <c r="M3054" s="21">
        <f t="shared" ref="M3054" si="1033">M3052+M3053</f>
        <v>-2.7355895326763857E-13</v>
      </c>
    </row>
    <row r="3055" spans="3:13" x14ac:dyDescent="0.2">
      <c r="C3055" t="s">
        <v>1218</v>
      </c>
      <c r="E3055" s="19">
        <f>E3048+E3049+E3050+E3051</f>
        <v>34.955999999999982</v>
      </c>
      <c r="F3055" s="19">
        <f t="shared" ref="F3055:M3055" si="1034">F3048+F3049+F3050+F3051</f>
        <v>35.014787339133903</v>
      </c>
      <c r="G3055" s="19">
        <f t="shared" si="1034"/>
        <v>36.591727643439604</v>
      </c>
      <c r="H3055" s="19">
        <f t="shared" si="1034"/>
        <v>37.125114387487457</v>
      </c>
      <c r="I3055" s="19">
        <f t="shared" si="1034"/>
        <v>36.805122193750535</v>
      </c>
      <c r="J3055" s="19">
        <f t="shared" si="1034"/>
        <v>36.485130000013612</v>
      </c>
      <c r="K3055" s="19">
        <f t="shared" si="1034"/>
        <v>36.497806666680383</v>
      </c>
      <c r="L3055" s="19">
        <f t="shared" si="1034"/>
        <v>36.510483333347139</v>
      </c>
      <c r="M3055" s="19">
        <f t="shared" si="1034"/>
        <v>36.523160000013917</v>
      </c>
    </row>
    <row r="3056" spans="3:13" x14ac:dyDescent="0.2">
      <c r="C3056" t="s">
        <v>1222</v>
      </c>
      <c r="E3056" s="19">
        <f>SUM(E3038:E3053)</f>
        <v>64.1471931615024</v>
      </c>
      <c r="F3056" s="19">
        <f t="shared" ref="F3056:M3056" si="1035">SUM(F3038:F3053)</f>
        <v>63.424399704469998</v>
      </c>
      <c r="G3056" s="19">
        <f t="shared" si="1035"/>
        <v>62.585142569210426</v>
      </c>
      <c r="H3056" s="19">
        <f t="shared" si="1035"/>
        <v>61.107878341173652</v>
      </c>
      <c r="I3056" s="19">
        <f t="shared" si="1035"/>
        <v>61.336438140703315</v>
      </c>
      <c r="J3056" s="19">
        <f t="shared" si="1035"/>
        <v>61.564997940232978</v>
      </c>
      <c r="K3056" s="19">
        <f t="shared" si="1035"/>
        <v>60.372638079247892</v>
      </c>
      <c r="L3056" s="19">
        <f t="shared" si="1035"/>
        <v>59.180278218262814</v>
      </c>
      <c r="M3056" s="19">
        <f t="shared" si="1035"/>
        <v>57.987918357277749</v>
      </c>
    </row>
    <row r="3057" spans="2:15" x14ac:dyDescent="0.2">
      <c r="C3057" s="124"/>
      <c r="D3057" s="124"/>
      <c r="E3057" s="124"/>
      <c r="F3057" s="124"/>
      <c r="G3057" s="124"/>
      <c r="H3057" s="124"/>
      <c r="I3057" s="124"/>
      <c r="J3057" s="124"/>
      <c r="K3057" s="124"/>
      <c r="L3057" s="124"/>
      <c r="M3057" s="124"/>
      <c r="N3057" s="124"/>
    </row>
    <row r="3059" spans="2:15" ht="15" x14ac:dyDescent="0.25">
      <c r="B3059" s="2" t="s">
        <v>1022</v>
      </c>
      <c r="C3059" s="13"/>
    </row>
    <row r="3060" spans="2:15" ht="15" x14ac:dyDescent="0.25">
      <c r="B3060" s="2"/>
      <c r="C3060" s="13" t="s">
        <v>1124</v>
      </c>
      <c r="E3060" s="2">
        <v>2010</v>
      </c>
      <c r="F3060" s="2">
        <v>2015</v>
      </c>
      <c r="G3060" s="2">
        <v>2020</v>
      </c>
      <c r="H3060" s="2">
        <v>2025</v>
      </c>
      <c r="I3060" s="2">
        <v>2030</v>
      </c>
      <c r="J3060" s="2">
        <v>2035</v>
      </c>
      <c r="K3060" s="2">
        <v>2040</v>
      </c>
      <c r="L3060" s="2">
        <v>2045</v>
      </c>
      <c r="M3060" s="2">
        <v>2050</v>
      </c>
    </row>
    <row r="3061" spans="2:15" x14ac:dyDescent="0.2">
      <c r="C3061" t="s">
        <v>1129</v>
      </c>
      <c r="E3061" s="4">
        <v>0.96291616173665617</v>
      </c>
      <c r="F3061" s="4">
        <v>0.74267643060256827</v>
      </c>
      <c r="G3061" s="4">
        <v>1.7623823511533081</v>
      </c>
      <c r="H3061" s="4">
        <v>3.9843742838747307</v>
      </c>
      <c r="I3061" s="129">
        <f>1/2*(H3061+J3061)</f>
        <v>4.9463648310380162</v>
      </c>
      <c r="J3061" s="4">
        <v>5.9083553782013025</v>
      </c>
      <c r="K3061" s="129">
        <f>2/3*J3061+1/3*M3061</f>
        <v>6.5000746608868045</v>
      </c>
      <c r="L3061" s="129">
        <f>1/3*J3061+2/3*M3061</f>
        <v>7.0917939435723074</v>
      </c>
      <c r="M3061" s="4">
        <v>7.6835132262578103</v>
      </c>
    </row>
    <row r="3062" spans="2:15" x14ac:dyDescent="0.2">
      <c r="C3062" t="s">
        <v>1125</v>
      </c>
      <c r="E3062" s="4">
        <v>0.96291616173665617</v>
      </c>
      <c r="F3062" s="4">
        <v>0.67290821301825854</v>
      </c>
      <c r="G3062" s="4">
        <v>0.49395035410756299</v>
      </c>
      <c r="H3062" s="4">
        <v>0.33664226700508165</v>
      </c>
      <c r="I3062" s="129">
        <f t="shared" ref="I3062:I3069" si="1036">1/2*(H3062+J3062)</f>
        <v>0.18478880637327388</v>
      </c>
      <c r="J3062" s="4">
        <v>3.2935345741466115E-2</v>
      </c>
      <c r="K3062" s="129">
        <f t="shared" ref="K3062" si="1037">2/3*J3062+1/3*M3062</f>
        <v>2.1956897160977408E-2</v>
      </c>
      <c r="L3062" s="129">
        <f t="shared" ref="L3062" si="1038">1/3*J3062+2/3*M3062</f>
        <v>1.0978448580488704E-2</v>
      </c>
      <c r="M3062" s="123">
        <v>0</v>
      </c>
    </row>
    <row r="3063" spans="2:15" x14ac:dyDescent="0.2">
      <c r="C3063" t="s">
        <v>1128</v>
      </c>
      <c r="E3063" s="4">
        <v>0.96291616173665617</v>
      </c>
      <c r="F3063" s="4">
        <v>0.74546168433599402</v>
      </c>
      <c r="G3063" s="4">
        <v>1.9858681044398021</v>
      </c>
      <c r="H3063" s="4">
        <v>4.0038118123437734</v>
      </c>
      <c r="I3063" s="129">
        <f t="shared" si="1036"/>
        <v>2.0019059061718867</v>
      </c>
      <c r="J3063" s="4">
        <v>0</v>
      </c>
      <c r="K3063" s="129">
        <f t="shared" ref="K3063:K3069" si="1039">2/3*J3063+1/3*M3063</f>
        <v>0.59446954716070999</v>
      </c>
      <c r="L3063" s="129">
        <f t="shared" ref="L3063:L3069" si="1040">1/3*J3063+2/3*M3063</f>
        <v>1.18893909432142</v>
      </c>
      <c r="M3063" s="4">
        <v>1.78340864148213</v>
      </c>
    </row>
    <row r="3064" spans="2:15" x14ac:dyDescent="0.2">
      <c r="C3064" t="s">
        <v>1131</v>
      </c>
      <c r="E3064" s="4">
        <v>0.96291616173665617</v>
      </c>
      <c r="F3064" s="4">
        <v>0</v>
      </c>
      <c r="G3064" s="4">
        <v>0.62338550020540595</v>
      </c>
      <c r="H3064" s="4">
        <v>1.7177106708543191</v>
      </c>
      <c r="I3064" s="129">
        <f t="shared" si="1036"/>
        <v>2.3656046009369343</v>
      </c>
      <c r="J3064" s="4">
        <v>3.0134985310195499</v>
      </c>
      <c r="K3064" s="129">
        <f t="shared" si="1039"/>
        <v>2.2219349110906585</v>
      </c>
      <c r="L3064" s="129">
        <f t="shared" si="1040"/>
        <v>1.4303712911617672</v>
      </c>
      <c r="M3064" s="4">
        <v>0.63880767123287607</v>
      </c>
    </row>
    <row r="3065" spans="2:15" x14ac:dyDescent="0.2">
      <c r="C3065" t="s">
        <v>1132</v>
      </c>
      <c r="E3065" s="4">
        <v>0.96291616173665617</v>
      </c>
      <c r="F3065" s="4">
        <v>0.65860047214341799</v>
      </c>
      <c r="G3065" s="4">
        <v>0.49395035410756299</v>
      </c>
      <c r="H3065" s="4">
        <v>0.25477573044191998</v>
      </c>
      <c r="I3065" s="129">
        <f t="shared" si="1036"/>
        <v>0.13981896750180314</v>
      </c>
      <c r="J3065" s="4">
        <v>2.48622045616863E-2</v>
      </c>
      <c r="K3065" s="129">
        <f t="shared" si="1039"/>
        <v>1.65748030411242E-2</v>
      </c>
      <c r="L3065" s="129">
        <f t="shared" si="1040"/>
        <v>8.2874015205621002E-3</v>
      </c>
      <c r="M3065" s="123">
        <v>0</v>
      </c>
    </row>
    <row r="3066" spans="2:15" x14ac:dyDescent="0.2">
      <c r="C3066" t="s">
        <v>1133</v>
      </c>
      <c r="E3066" s="4">
        <v>0.96291616173665617</v>
      </c>
      <c r="F3066" s="4">
        <v>0</v>
      </c>
      <c r="G3066" s="4">
        <v>0.62338550020540495</v>
      </c>
      <c r="H3066" s="4">
        <v>1.7177106708543191</v>
      </c>
      <c r="I3066" s="129">
        <f t="shared" si="1036"/>
        <v>0.85885533542715953</v>
      </c>
      <c r="J3066" s="123">
        <v>0</v>
      </c>
      <c r="K3066" s="129">
        <f t="shared" si="1039"/>
        <v>0</v>
      </c>
      <c r="L3066" s="129">
        <f t="shared" si="1040"/>
        <v>0</v>
      </c>
      <c r="M3066" s="123">
        <v>0</v>
      </c>
    </row>
    <row r="3067" spans="2:15" x14ac:dyDescent="0.2">
      <c r="C3067" t="s">
        <v>1105</v>
      </c>
      <c r="E3067" s="4">
        <v>0.96291616173665617</v>
      </c>
      <c r="F3067" s="4">
        <v>0</v>
      </c>
      <c r="G3067" s="4">
        <v>0.75065142393065798</v>
      </c>
      <c r="H3067" s="4">
        <v>2.2464465303811894</v>
      </c>
      <c r="I3067" s="129">
        <f t="shared" si="1036"/>
        <v>3.1900020403092748</v>
      </c>
      <c r="J3067" s="4">
        <v>4.1335575502373603</v>
      </c>
      <c r="K3067" s="129">
        <f t="shared" si="1039"/>
        <v>4.7223717001582397</v>
      </c>
      <c r="L3067" s="129">
        <f t="shared" si="1040"/>
        <v>5.31118585007912</v>
      </c>
      <c r="M3067" s="168">
        <v>5.9</v>
      </c>
    </row>
    <row r="3068" spans="2:15" x14ac:dyDescent="0.2">
      <c r="C3068" t="s">
        <v>1134</v>
      </c>
      <c r="E3068" s="4">
        <v>0.96291616173665617</v>
      </c>
      <c r="F3068" s="4">
        <v>0.65860047214341799</v>
      </c>
      <c r="G3068" s="4">
        <v>0.49395035410756299</v>
      </c>
      <c r="H3068" s="4">
        <v>0.329300236071709</v>
      </c>
      <c r="I3068" s="129">
        <f t="shared" si="1036"/>
        <v>0.18124019999537969</v>
      </c>
      <c r="J3068" s="4">
        <v>3.3180163919050376E-2</v>
      </c>
      <c r="K3068" s="129">
        <f t="shared" si="1039"/>
        <v>2.2120109279366917E-2</v>
      </c>
      <c r="L3068" s="129">
        <f t="shared" si="1040"/>
        <v>1.1060054639683459E-2</v>
      </c>
      <c r="M3068" s="4">
        <v>0</v>
      </c>
    </row>
    <row r="3069" spans="2:15" x14ac:dyDescent="0.2">
      <c r="C3069" t="s">
        <v>1135</v>
      </c>
      <c r="E3069" s="4">
        <v>0.96291616173665617</v>
      </c>
      <c r="F3069" s="4">
        <v>0</v>
      </c>
      <c r="G3069" s="4">
        <v>0.75782414535353504</v>
      </c>
      <c r="H3069" s="4">
        <v>2.2770303700770489</v>
      </c>
      <c r="I3069" s="129">
        <f t="shared" si="1036"/>
        <v>1.1385151850385244</v>
      </c>
      <c r="J3069" s="4">
        <v>0</v>
      </c>
      <c r="K3069" s="129">
        <f t="shared" si="1039"/>
        <v>3.1736232449099233E-2</v>
      </c>
      <c r="L3069" s="129">
        <f t="shared" si="1040"/>
        <v>6.3472464898198466E-2</v>
      </c>
      <c r="M3069" s="4">
        <v>9.5208697347297699E-2</v>
      </c>
    </row>
    <row r="3070" spans="2:15" x14ac:dyDescent="0.2">
      <c r="E3070" s="126"/>
      <c r="F3070" s="126"/>
      <c r="G3070" s="126"/>
      <c r="H3070" s="126"/>
      <c r="J3070" s="126"/>
      <c r="M3070" s="126"/>
    </row>
    <row r="3071" spans="2:15" x14ac:dyDescent="0.2">
      <c r="E3071" s="166"/>
      <c r="F3071" s="167"/>
      <c r="G3071" s="167"/>
      <c r="H3071" s="167"/>
      <c r="I3071" s="167"/>
      <c r="J3071" s="167"/>
      <c r="K3071" s="167"/>
      <c r="L3071" s="167"/>
      <c r="M3071" s="167"/>
      <c r="N3071" s="167"/>
      <c r="O3071" s="167">
        <v>3.9184921896733398</v>
      </c>
    </row>
    <row r="3076" spans="1:24" ht="27" x14ac:dyDescent="0.35">
      <c r="A3076" s="3" t="s">
        <v>1384</v>
      </c>
      <c r="O3076" s="3"/>
    </row>
    <row r="3077" spans="1:24" ht="15" x14ac:dyDescent="0.25">
      <c r="B3077" s="2"/>
      <c r="E3077" s="2"/>
      <c r="F3077" s="2"/>
      <c r="G3077" s="2"/>
      <c r="H3077" s="2"/>
      <c r="I3077" s="2"/>
      <c r="J3077" s="2"/>
      <c r="K3077" s="2"/>
      <c r="L3077" s="2"/>
      <c r="M3077" s="2"/>
    </row>
    <row r="3078" spans="1:24" ht="15" x14ac:dyDescent="0.25">
      <c r="B3078" s="2" t="s">
        <v>1205</v>
      </c>
      <c r="E3078" s="2"/>
      <c r="F3078" s="2"/>
      <c r="G3078" s="2"/>
      <c r="H3078" s="2"/>
      <c r="I3078" s="2"/>
      <c r="J3078" s="2"/>
      <c r="K3078" s="2"/>
      <c r="L3078" s="2"/>
      <c r="M3078" s="2"/>
      <c r="O3078" s="2"/>
    </row>
    <row r="3079" spans="1:24" ht="15" x14ac:dyDescent="0.25">
      <c r="C3079" s="13" t="s">
        <v>125</v>
      </c>
      <c r="E3079" s="2">
        <v>2010</v>
      </c>
      <c r="F3079" s="2">
        <v>2015</v>
      </c>
      <c r="G3079" s="2">
        <v>2020</v>
      </c>
      <c r="H3079" s="2">
        <v>2025</v>
      </c>
      <c r="I3079" s="2">
        <v>2030</v>
      </c>
      <c r="J3079" s="2">
        <v>2035</v>
      </c>
      <c r="K3079" s="2">
        <v>2040</v>
      </c>
      <c r="L3079" s="2">
        <v>2045</v>
      </c>
      <c r="M3079" s="2">
        <v>2050</v>
      </c>
      <c r="P3079" s="2"/>
      <c r="Q3079" s="2"/>
      <c r="R3079" s="2"/>
      <c r="S3079" s="2"/>
      <c r="T3079" s="2"/>
      <c r="U3079" s="2"/>
      <c r="V3079" s="2"/>
      <c r="W3079" s="2"/>
      <c r="X3079" s="2"/>
    </row>
    <row r="3080" spans="1:24" ht="15" x14ac:dyDescent="0.25">
      <c r="C3080" s="147" t="s">
        <v>1200</v>
      </c>
      <c r="D3080" s="139"/>
      <c r="E3080" s="140">
        <v>3.5606095561383029</v>
      </c>
      <c r="F3080" s="141"/>
      <c r="G3080" s="141"/>
      <c r="H3080" s="141"/>
      <c r="I3080" s="142"/>
      <c r="J3080" s="141"/>
      <c r="K3080" s="141"/>
      <c r="L3080" s="141"/>
      <c r="M3080" s="52"/>
    </row>
    <row r="3081" spans="1:24" ht="15" x14ac:dyDescent="0.25">
      <c r="C3081" s="147" t="s">
        <v>1201</v>
      </c>
      <c r="D3081" s="139"/>
      <c r="E3081" s="140">
        <v>2.776936557738555</v>
      </c>
      <c r="F3081" s="141"/>
      <c r="G3081" s="141"/>
      <c r="H3081" s="141"/>
      <c r="I3081" s="142"/>
      <c r="J3081" s="141"/>
      <c r="K3081" s="141"/>
      <c r="L3081" s="141"/>
      <c r="M3081" s="52"/>
    </row>
    <row r="3082" spans="1:24" ht="15" x14ac:dyDescent="0.25">
      <c r="C3082" s="147" t="s">
        <v>1202</v>
      </c>
      <c r="D3082" s="139"/>
      <c r="E3082" s="140">
        <v>3.4041133305390505</v>
      </c>
      <c r="F3082" s="141"/>
      <c r="G3082" s="141"/>
      <c r="H3082" s="141"/>
      <c r="I3082" s="142"/>
      <c r="J3082" s="141"/>
      <c r="K3082" s="141"/>
      <c r="L3082" s="141"/>
      <c r="M3082" s="52"/>
    </row>
    <row r="3083" spans="1:24" ht="15" x14ac:dyDescent="0.25">
      <c r="C3083" s="147" t="s">
        <v>1203</v>
      </c>
      <c r="D3083" s="139"/>
      <c r="E3083" s="140">
        <v>8.1</v>
      </c>
      <c r="F3083" s="141"/>
      <c r="G3083" s="52"/>
      <c r="H3083" s="141"/>
      <c r="I3083" s="140">
        <v>10.8</v>
      </c>
      <c r="J3083" s="141"/>
      <c r="K3083" s="141"/>
      <c r="L3083" s="141"/>
      <c r="M3083" s="140">
        <v>11.1</v>
      </c>
    </row>
    <row r="3084" spans="1:24" x14ac:dyDescent="0.2">
      <c r="C3084" s="146" t="s">
        <v>7</v>
      </c>
      <c r="D3084" s="143"/>
      <c r="E3084" s="144">
        <v>29.901687036945706</v>
      </c>
      <c r="F3084" s="144">
        <v>25.807115779566896</v>
      </c>
      <c r="G3084" s="144">
        <v>21.708054860721671</v>
      </c>
      <c r="H3084" s="144">
        <v>17.613483603342868</v>
      </c>
      <c r="I3084" s="144">
        <v>13.514422684497637</v>
      </c>
      <c r="J3084" s="144">
        <v>12.504248854552209</v>
      </c>
      <c r="K3084" s="144">
        <v>11.494075024606781</v>
      </c>
      <c r="L3084" s="144">
        <v>10.483901194661351</v>
      </c>
      <c r="M3084" s="144">
        <v>9.4737273647159235</v>
      </c>
    </row>
    <row r="3085" spans="1:24" x14ac:dyDescent="0.2">
      <c r="C3085" s="146" t="s">
        <v>8</v>
      </c>
      <c r="D3085" s="143"/>
      <c r="E3085" s="144">
        <v>20.371312078705735</v>
      </c>
      <c r="F3085" s="144">
        <v>19.097080933917258</v>
      </c>
      <c r="G3085" s="144">
        <v>17.72284978912878</v>
      </c>
      <c r="H3085" s="144">
        <v>16.4486186443403</v>
      </c>
      <c r="I3085" s="144">
        <v>15.074387499551818</v>
      </c>
      <c r="J3085" s="152">
        <f>I3085</f>
        <v>15.074387499551818</v>
      </c>
      <c r="K3085" s="152">
        <f t="shared" ref="K3085:M3085" si="1041">J3085</f>
        <v>15.074387499551818</v>
      </c>
      <c r="L3085" s="152">
        <f t="shared" si="1041"/>
        <v>15.074387499551818</v>
      </c>
      <c r="M3085" s="152">
        <f t="shared" si="1041"/>
        <v>15.074387499551818</v>
      </c>
    </row>
    <row r="3086" spans="1:24" x14ac:dyDescent="0.2">
      <c r="C3086" s="147" t="s">
        <v>1204</v>
      </c>
      <c r="D3086" s="143"/>
      <c r="E3086" s="144">
        <v>9.8000000000000007</v>
      </c>
      <c r="F3086" s="145"/>
      <c r="G3086" s="146"/>
      <c r="H3086" s="146"/>
      <c r="I3086" s="144">
        <v>12.8</v>
      </c>
      <c r="J3086" s="145"/>
      <c r="K3086" s="146"/>
      <c r="L3086" s="146"/>
      <c r="M3086" s="144">
        <v>13.2</v>
      </c>
    </row>
    <row r="3087" spans="1:24" x14ac:dyDescent="0.2">
      <c r="C3087" s="147"/>
      <c r="D3087" s="143"/>
      <c r="E3087" s="144"/>
      <c r="F3087" s="145"/>
      <c r="G3087" s="146"/>
      <c r="H3087" s="146"/>
      <c r="I3087" s="144"/>
      <c r="J3087" s="145"/>
      <c r="K3087" s="146"/>
      <c r="L3087" s="146"/>
      <c r="M3087" s="144"/>
    </row>
    <row r="3089" spans="2:24" ht="15" x14ac:dyDescent="0.25">
      <c r="B3089" s="2" t="s">
        <v>1206</v>
      </c>
      <c r="E3089" s="2"/>
      <c r="F3089" s="2"/>
      <c r="G3089" s="2"/>
      <c r="H3089" s="2"/>
      <c r="I3089" s="2"/>
      <c r="J3089" s="2"/>
      <c r="K3089" s="2"/>
      <c r="L3089" s="2"/>
      <c r="M3089" s="2"/>
      <c r="O3089" s="2"/>
    </row>
    <row r="3090" spans="2:24" ht="15" x14ac:dyDescent="0.25">
      <c r="C3090" s="13" t="s">
        <v>1097</v>
      </c>
      <c r="E3090" s="2">
        <v>2010</v>
      </c>
      <c r="F3090" s="2">
        <v>2015</v>
      </c>
      <c r="G3090" s="2">
        <v>2020</v>
      </c>
      <c r="H3090" s="2">
        <v>2025</v>
      </c>
      <c r="I3090" s="2">
        <v>2030</v>
      </c>
      <c r="J3090" s="2">
        <v>2035</v>
      </c>
      <c r="K3090" s="2">
        <v>2040</v>
      </c>
      <c r="L3090" s="2">
        <v>2045</v>
      </c>
      <c r="M3090" s="2">
        <v>2050</v>
      </c>
      <c r="P3090" s="2"/>
      <c r="Q3090" s="2"/>
      <c r="R3090" s="2"/>
      <c r="S3090" s="2"/>
      <c r="T3090" s="2"/>
      <c r="U3090" s="2"/>
      <c r="V3090" s="2"/>
      <c r="W3090" s="2"/>
      <c r="X3090" s="2"/>
    </row>
    <row r="3091" spans="2:24" x14ac:dyDescent="0.2">
      <c r="C3091" t="s">
        <v>934</v>
      </c>
      <c r="M3091">
        <v>38.1</v>
      </c>
    </row>
    <row r="3092" spans="2:24" x14ac:dyDescent="0.2">
      <c r="C3092" t="s">
        <v>7</v>
      </c>
      <c r="M3092">
        <v>13.7</v>
      </c>
    </row>
    <row r="3093" spans="2:24" x14ac:dyDescent="0.2">
      <c r="C3093" t="s">
        <v>8</v>
      </c>
      <c r="M3093">
        <v>4.2</v>
      </c>
    </row>
    <row r="3094" spans="2:24" ht="15" x14ac:dyDescent="0.25">
      <c r="C3094" t="s">
        <v>1207</v>
      </c>
      <c r="M3094" s="19">
        <f>62.8/3.6</f>
        <v>17.444444444444443</v>
      </c>
    </row>
    <row r="3095" spans="2:24" ht="15" x14ac:dyDescent="0.25">
      <c r="C3095" t="s">
        <v>1208</v>
      </c>
      <c r="M3095" s="19">
        <f>36.7/3.6</f>
        <v>10.194444444444445</v>
      </c>
    </row>
    <row r="3098" spans="2:24" ht="15" x14ac:dyDescent="0.25">
      <c r="B3098" s="2" t="s">
        <v>1216</v>
      </c>
    </row>
    <row r="3099" spans="2:24" ht="15" x14ac:dyDescent="0.25">
      <c r="C3099" s="13" t="s">
        <v>1211</v>
      </c>
      <c r="D3099" s="2">
        <v>2000</v>
      </c>
      <c r="E3099" s="2">
        <v>2010</v>
      </c>
      <c r="F3099" s="2">
        <v>2015</v>
      </c>
      <c r="G3099" s="2">
        <v>2020</v>
      </c>
      <c r="H3099" s="2">
        <v>2025</v>
      </c>
      <c r="I3099" s="2">
        <v>2030</v>
      </c>
      <c r="J3099" s="2">
        <v>2035</v>
      </c>
      <c r="K3099" s="2">
        <v>2040</v>
      </c>
      <c r="L3099" s="2">
        <v>2045</v>
      </c>
      <c r="M3099" s="2">
        <v>2050</v>
      </c>
    </row>
    <row r="3100" spans="2:24" x14ac:dyDescent="0.2">
      <c r="C3100" t="s">
        <v>1209</v>
      </c>
      <c r="D3100" s="148">
        <v>5.3999999999999999E-2</v>
      </c>
      <c r="E3100" s="148">
        <v>5.1996000000000002</v>
      </c>
      <c r="F3100" s="148">
        <v>5.2003000000000004</v>
      </c>
      <c r="G3100" s="148">
        <v>5.3444000000000003</v>
      </c>
      <c r="H3100" s="148">
        <v>5.4542000000000002</v>
      </c>
      <c r="I3100" s="148">
        <v>5.5640999999999998</v>
      </c>
      <c r="J3100" s="148">
        <v>5.6294000000000004</v>
      </c>
      <c r="K3100" s="148">
        <v>5.6742999999999997</v>
      </c>
      <c r="L3100" s="148">
        <v>5.6997</v>
      </c>
      <c r="M3100" s="148">
        <v>5.7249999999999996</v>
      </c>
    </row>
    <row r="3101" spans="2:24" x14ac:dyDescent="0.2">
      <c r="C3101" t="s">
        <v>934</v>
      </c>
      <c r="D3101" s="149"/>
      <c r="E3101" s="148">
        <v>125.83009999999999</v>
      </c>
      <c r="F3101" s="148">
        <v>126.32910000000001</v>
      </c>
      <c r="G3101" s="148">
        <v>126.82770000000001</v>
      </c>
      <c r="H3101" s="148">
        <v>127.32690000000001</v>
      </c>
      <c r="I3101" s="148">
        <v>127.8258</v>
      </c>
      <c r="J3101" s="148">
        <v>128.3245</v>
      </c>
      <c r="K3101" s="148">
        <v>128.8236</v>
      </c>
      <c r="L3101" s="148">
        <v>129.3228</v>
      </c>
      <c r="M3101" s="148">
        <v>129.82150000000001</v>
      </c>
    </row>
    <row r="3102" spans="2:24" x14ac:dyDescent="0.2">
      <c r="C3102" t="s">
        <v>935</v>
      </c>
      <c r="D3102" s="148">
        <v>94.892499999999998</v>
      </c>
      <c r="E3102" s="148">
        <v>90.737999999999985</v>
      </c>
      <c r="F3102" s="148">
        <v>94.4619</v>
      </c>
      <c r="G3102" s="148">
        <v>84.899599999999992</v>
      </c>
      <c r="H3102" s="148">
        <v>62.432400000000001</v>
      </c>
      <c r="I3102" s="148">
        <v>42.410399999999996</v>
      </c>
      <c r="J3102" s="148">
        <v>10.148800000000001</v>
      </c>
      <c r="K3102" s="149">
        <v>0</v>
      </c>
      <c r="L3102" s="149">
        <v>0</v>
      </c>
      <c r="M3102" s="149">
        <v>0</v>
      </c>
    </row>
    <row r="3103" spans="2:24" x14ac:dyDescent="0.2">
      <c r="C3103" t="s">
        <v>1213</v>
      </c>
      <c r="D3103" s="149">
        <v>0</v>
      </c>
      <c r="E3103" s="149">
        <v>0</v>
      </c>
      <c r="F3103" s="149">
        <v>0</v>
      </c>
      <c r="G3103" s="148">
        <v>0.27560000000000001</v>
      </c>
      <c r="H3103" s="148">
        <v>16.4224</v>
      </c>
      <c r="I3103" s="148">
        <v>52.223199999999991</v>
      </c>
      <c r="J3103" s="148">
        <v>100.55599999999998</v>
      </c>
      <c r="K3103" s="148">
        <v>123.8519</v>
      </c>
      <c r="L3103" s="148">
        <v>107.4295</v>
      </c>
      <c r="M3103" s="148">
        <v>119.3755</v>
      </c>
    </row>
    <row r="3104" spans="2:24" x14ac:dyDescent="0.2">
      <c r="C3104" t="s">
        <v>1212</v>
      </c>
      <c r="D3104" s="149">
        <v>0</v>
      </c>
      <c r="E3104" s="149">
        <v>0</v>
      </c>
      <c r="F3104" s="148">
        <v>4.3107000000000006</v>
      </c>
      <c r="G3104" s="148">
        <v>22.290900000000001</v>
      </c>
      <c r="H3104" s="148">
        <v>32.118300000000005</v>
      </c>
      <c r="I3104" s="148">
        <v>32.118300000000005</v>
      </c>
      <c r="J3104" s="148">
        <v>32.118300000000005</v>
      </c>
      <c r="K3104" s="148">
        <v>27.8079</v>
      </c>
      <c r="L3104" s="148">
        <v>9.8272999999999993</v>
      </c>
      <c r="M3104" s="148">
        <v>0</v>
      </c>
    </row>
    <row r="3105" spans="3:13" x14ac:dyDescent="0.2">
      <c r="C3105" t="s">
        <v>1214</v>
      </c>
      <c r="D3105" s="149">
        <v>0</v>
      </c>
      <c r="E3105" s="148">
        <v>3.4699999999999995E-2</v>
      </c>
      <c r="F3105" s="148">
        <v>0.34549999999999997</v>
      </c>
      <c r="G3105" s="148">
        <v>3.4699999999999995E-2</v>
      </c>
      <c r="H3105" s="149">
        <v>0</v>
      </c>
      <c r="I3105" s="149">
        <v>0</v>
      </c>
      <c r="J3105" s="149">
        <v>0</v>
      </c>
      <c r="K3105" s="149">
        <v>0</v>
      </c>
      <c r="L3105" s="149">
        <v>0</v>
      </c>
      <c r="M3105" s="149">
        <v>0</v>
      </c>
    </row>
    <row r="3106" spans="3:13" x14ac:dyDescent="0.2">
      <c r="C3106" t="s">
        <v>8</v>
      </c>
      <c r="D3106" s="149">
        <v>0</v>
      </c>
      <c r="E3106" s="148">
        <v>0.13189999999999999</v>
      </c>
      <c r="F3106" s="148">
        <v>9.8900000000000002E-2</v>
      </c>
      <c r="G3106" s="148">
        <v>6.6000000000000003E-2</v>
      </c>
      <c r="H3106" s="148">
        <v>3.2799999999999996E-2</v>
      </c>
      <c r="I3106" s="149">
        <v>0</v>
      </c>
      <c r="J3106" s="149">
        <v>0</v>
      </c>
      <c r="K3106" s="149">
        <v>0</v>
      </c>
      <c r="L3106" s="149">
        <v>0</v>
      </c>
      <c r="M3106" s="149">
        <v>0</v>
      </c>
    </row>
    <row r="3107" spans="3:13" x14ac:dyDescent="0.2">
      <c r="C3107" t="s">
        <v>1210</v>
      </c>
      <c r="D3107" s="149">
        <v>0</v>
      </c>
      <c r="E3107" s="148">
        <v>0.29910000000000003</v>
      </c>
      <c r="F3107" s="148">
        <v>0.2616</v>
      </c>
      <c r="G3107" s="148">
        <v>0.22439999999999999</v>
      </c>
      <c r="H3107" s="148">
        <v>0.18679999999999999</v>
      </c>
      <c r="I3107" s="148">
        <v>0.14960000000000001</v>
      </c>
      <c r="J3107" s="148">
        <v>0.1123</v>
      </c>
      <c r="K3107" s="148">
        <v>7.4700000000000003E-2</v>
      </c>
      <c r="L3107" s="148">
        <v>44.038199999999996</v>
      </c>
      <c r="M3107" s="148">
        <v>49.2926</v>
      </c>
    </row>
    <row r="3109" spans="3:13" x14ac:dyDescent="0.2">
      <c r="C3109" s="13" t="s">
        <v>1097</v>
      </c>
    </row>
    <row r="3110" spans="3:13" x14ac:dyDescent="0.2">
      <c r="C3110" t="s">
        <v>1209</v>
      </c>
      <c r="D3110" s="1">
        <f>D3100/3.6</f>
        <v>1.4999999999999999E-2</v>
      </c>
      <c r="E3110" s="1">
        <f t="shared" ref="E3110:M3110" si="1042">E3100/3.6</f>
        <v>1.4443333333333335</v>
      </c>
      <c r="F3110" s="1">
        <f t="shared" si="1042"/>
        <v>1.4445277777777779</v>
      </c>
      <c r="G3110" s="1">
        <f t="shared" si="1042"/>
        <v>1.4845555555555556</v>
      </c>
      <c r="H3110" s="1">
        <f t="shared" si="1042"/>
        <v>1.5150555555555556</v>
      </c>
      <c r="I3110" s="1">
        <f t="shared" si="1042"/>
        <v>1.5455833333333333</v>
      </c>
      <c r="J3110" s="1">
        <f t="shared" si="1042"/>
        <v>1.5637222222222222</v>
      </c>
      <c r="K3110" s="1">
        <f t="shared" si="1042"/>
        <v>1.5761944444444442</v>
      </c>
      <c r="L3110" s="1">
        <f t="shared" si="1042"/>
        <v>1.58325</v>
      </c>
      <c r="M3110" s="1">
        <f t="shared" si="1042"/>
        <v>1.5902777777777777</v>
      </c>
    </row>
    <row r="3111" spans="3:13" x14ac:dyDescent="0.2">
      <c r="C3111" t="s">
        <v>934</v>
      </c>
      <c r="D3111" s="1"/>
      <c r="E3111" s="1">
        <f t="shared" ref="E3111:M3111" si="1043">E3101/3.6</f>
        <v>34.95280555555555</v>
      </c>
      <c r="F3111" s="1">
        <f t="shared" si="1043"/>
        <v>35.091416666666667</v>
      </c>
      <c r="G3111" s="1">
        <f t="shared" si="1043"/>
        <v>35.229916666666668</v>
      </c>
      <c r="H3111" s="1">
        <f t="shared" si="1043"/>
        <v>35.368583333333333</v>
      </c>
      <c r="I3111" s="1">
        <f t="shared" si="1043"/>
        <v>35.507166666666663</v>
      </c>
      <c r="J3111" s="1">
        <f t="shared" si="1043"/>
        <v>35.645694444444445</v>
      </c>
      <c r="K3111" s="1">
        <f t="shared" si="1043"/>
        <v>35.784333333333329</v>
      </c>
      <c r="L3111" s="1">
        <f t="shared" si="1043"/>
        <v>35.923000000000002</v>
      </c>
      <c r="M3111" s="1">
        <f t="shared" si="1043"/>
        <v>36.061527777777783</v>
      </c>
    </row>
    <row r="3112" spans="3:13" x14ac:dyDescent="0.2">
      <c r="C3112" t="s">
        <v>935</v>
      </c>
      <c r="D3112" s="1">
        <f t="shared" ref="D3112:D3117" si="1044">D3102/3.6</f>
        <v>26.359027777777776</v>
      </c>
      <c r="E3112" s="1">
        <f t="shared" ref="E3112:M3112" si="1045">E3102/3.6</f>
        <v>25.204999999999995</v>
      </c>
      <c r="F3112" s="1">
        <f t="shared" si="1045"/>
        <v>26.239416666666667</v>
      </c>
      <c r="G3112" s="1">
        <f t="shared" si="1045"/>
        <v>23.583222222222219</v>
      </c>
      <c r="H3112" s="1">
        <f t="shared" si="1045"/>
        <v>17.342333333333332</v>
      </c>
      <c r="I3112" s="1">
        <f t="shared" si="1045"/>
        <v>11.780666666666665</v>
      </c>
      <c r="J3112" s="1">
        <f t="shared" si="1045"/>
        <v>2.8191111111111113</v>
      </c>
      <c r="K3112" s="6">
        <f t="shared" si="1045"/>
        <v>0</v>
      </c>
      <c r="L3112" s="6">
        <f t="shared" si="1045"/>
        <v>0</v>
      </c>
      <c r="M3112" s="6">
        <f t="shared" si="1045"/>
        <v>0</v>
      </c>
    </row>
    <row r="3113" spans="3:13" x14ac:dyDescent="0.2">
      <c r="C3113" t="s">
        <v>1213</v>
      </c>
      <c r="D3113" s="6">
        <f t="shared" si="1044"/>
        <v>0</v>
      </c>
      <c r="E3113" s="6">
        <f t="shared" ref="E3113:M3113" si="1046">E3103/3.6</f>
        <v>0</v>
      </c>
      <c r="F3113" s="1">
        <f t="shared" si="1046"/>
        <v>0</v>
      </c>
      <c r="G3113" s="1">
        <f t="shared" si="1046"/>
        <v>7.6555555555555557E-2</v>
      </c>
      <c r="H3113" s="1">
        <f t="shared" si="1046"/>
        <v>4.5617777777777775</v>
      </c>
      <c r="I3113" s="1">
        <f t="shared" si="1046"/>
        <v>14.506444444444442</v>
      </c>
      <c r="J3113" s="1">
        <f t="shared" si="1046"/>
        <v>27.932222222222215</v>
      </c>
      <c r="K3113" s="1">
        <f t="shared" si="1046"/>
        <v>34.403305555555555</v>
      </c>
      <c r="L3113" s="1">
        <f t="shared" si="1046"/>
        <v>29.841527777777777</v>
      </c>
      <c r="M3113" s="1">
        <f t="shared" si="1046"/>
        <v>33.159861111111113</v>
      </c>
    </row>
    <row r="3114" spans="3:13" x14ac:dyDescent="0.2">
      <c r="C3114" t="s">
        <v>1212</v>
      </c>
      <c r="D3114" s="6">
        <f t="shared" si="1044"/>
        <v>0</v>
      </c>
      <c r="E3114" s="6">
        <f t="shared" ref="E3114:M3114" si="1047">E3104/3.6</f>
        <v>0</v>
      </c>
      <c r="F3114" s="1">
        <f t="shared" si="1047"/>
        <v>1.1974166666666668</v>
      </c>
      <c r="G3114" s="1">
        <f t="shared" si="1047"/>
        <v>6.1919166666666667</v>
      </c>
      <c r="H3114" s="1">
        <f t="shared" si="1047"/>
        <v>8.9217500000000012</v>
      </c>
      <c r="I3114" s="1">
        <f t="shared" si="1047"/>
        <v>8.9217500000000012</v>
      </c>
      <c r="J3114" s="1">
        <f t="shared" si="1047"/>
        <v>8.9217500000000012</v>
      </c>
      <c r="K3114" s="1">
        <f t="shared" si="1047"/>
        <v>7.7244166666666665</v>
      </c>
      <c r="L3114" s="1">
        <f t="shared" si="1047"/>
        <v>2.7298055555555552</v>
      </c>
      <c r="M3114" s="1">
        <f t="shared" si="1047"/>
        <v>0</v>
      </c>
    </row>
    <row r="3115" spans="3:13" x14ac:dyDescent="0.2">
      <c r="C3115" t="s">
        <v>1214</v>
      </c>
      <c r="D3115" s="6">
        <f t="shared" si="1044"/>
        <v>0</v>
      </c>
      <c r="E3115" s="1">
        <f t="shared" ref="E3115:M3115" si="1048">E3105/3.6</f>
        <v>9.6388888888888878E-3</v>
      </c>
      <c r="F3115" s="1">
        <f t="shared" si="1048"/>
        <v>9.5972222222222209E-2</v>
      </c>
      <c r="G3115" s="1">
        <f t="shared" si="1048"/>
        <v>9.6388888888888878E-3</v>
      </c>
      <c r="H3115" s="6">
        <f t="shared" si="1048"/>
        <v>0</v>
      </c>
      <c r="I3115" s="6">
        <f t="shared" si="1048"/>
        <v>0</v>
      </c>
      <c r="J3115" s="6">
        <f t="shared" si="1048"/>
        <v>0</v>
      </c>
      <c r="K3115" s="6">
        <f t="shared" si="1048"/>
        <v>0</v>
      </c>
      <c r="L3115" s="6">
        <f t="shared" si="1048"/>
        <v>0</v>
      </c>
      <c r="M3115" s="6">
        <f t="shared" si="1048"/>
        <v>0</v>
      </c>
    </row>
    <row r="3116" spans="3:13" x14ac:dyDescent="0.2">
      <c r="C3116" t="s">
        <v>8</v>
      </c>
      <c r="D3116" s="6">
        <f t="shared" si="1044"/>
        <v>0</v>
      </c>
      <c r="E3116" s="1">
        <f t="shared" ref="E3116:M3116" si="1049">E3106/3.6</f>
        <v>3.6638888888888888E-2</v>
      </c>
      <c r="F3116" s="1">
        <f t="shared" si="1049"/>
        <v>2.7472222222222221E-2</v>
      </c>
      <c r="G3116" s="1">
        <f t="shared" si="1049"/>
        <v>1.8333333333333333E-2</v>
      </c>
      <c r="H3116" s="1">
        <f t="shared" si="1049"/>
        <v>9.1111111111111098E-3</v>
      </c>
      <c r="I3116" s="6">
        <f t="shared" si="1049"/>
        <v>0</v>
      </c>
      <c r="J3116" s="6">
        <f t="shared" si="1049"/>
        <v>0</v>
      </c>
      <c r="K3116" s="6">
        <f t="shared" si="1049"/>
        <v>0</v>
      </c>
      <c r="L3116" s="6">
        <f t="shared" si="1049"/>
        <v>0</v>
      </c>
      <c r="M3116" s="6">
        <f t="shared" si="1049"/>
        <v>0</v>
      </c>
    </row>
    <row r="3117" spans="3:13" x14ac:dyDescent="0.2">
      <c r="C3117" t="s">
        <v>1210</v>
      </c>
      <c r="D3117" s="6">
        <f t="shared" si="1044"/>
        <v>0</v>
      </c>
      <c r="E3117" s="1">
        <f t="shared" ref="E3117:M3117" si="1050">E3107/3.6</f>
        <v>8.3083333333333342E-2</v>
      </c>
      <c r="F3117" s="1">
        <f t="shared" si="1050"/>
        <v>7.2666666666666671E-2</v>
      </c>
      <c r="G3117" s="1">
        <f t="shared" si="1050"/>
        <v>6.2333333333333331E-2</v>
      </c>
      <c r="H3117" s="1">
        <f t="shared" si="1050"/>
        <v>5.1888888888888887E-2</v>
      </c>
      <c r="I3117" s="1">
        <f t="shared" si="1050"/>
        <v>4.1555555555555561E-2</v>
      </c>
      <c r="J3117" s="1">
        <f t="shared" si="1050"/>
        <v>3.1194444444444441E-2</v>
      </c>
      <c r="K3117" s="1">
        <f t="shared" si="1050"/>
        <v>2.0750000000000001E-2</v>
      </c>
      <c r="L3117" s="1">
        <f t="shared" si="1050"/>
        <v>12.232833333333332</v>
      </c>
      <c r="M3117" s="1">
        <f t="shared" si="1050"/>
        <v>13.692388888888889</v>
      </c>
    </row>
    <row r="3121" spans="2:13" ht="15" x14ac:dyDescent="0.25">
      <c r="B3121" s="2" t="s">
        <v>1215</v>
      </c>
    </row>
    <row r="3122" spans="2:13" ht="15" x14ac:dyDescent="0.25">
      <c r="C3122" s="13" t="s">
        <v>1211</v>
      </c>
      <c r="D3122" s="2">
        <v>2000</v>
      </c>
      <c r="E3122" s="2">
        <v>2010</v>
      </c>
      <c r="F3122" s="2">
        <v>2015</v>
      </c>
      <c r="G3122" s="2">
        <v>2020</v>
      </c>
      <c r="H3122" s="2">
        <v>2025</v>
      </c>
      <c r="I3122" s="2">
        <v>2030</v>
      </c>
      <c r="J3122" s="2">
        <v>2035</v>
      </c>
      <c r="K3122" s="2">
        <v>2040</v>
      </c>
      <c r="L3122" s="2">
        <v>2045</v>
      </c>
      <c r="M3122" s="2">
        <v>2050</v>
      </c>
    </row>
    <row r="3123" spans="2:13" x14ac:dyDescent="0.2">
      <c r="C3123" t="s">
        <v>1209</v>
      </c>
      <c r="D3123" s="148">
        <v>5.3999999999999999E-2</v>
      </c>
      <c r="E3123" s="148">
        <v>5.1996000000000002</v>
      </c>
      <c r="F3123" s="148">
        <v>5.2002999999999995</v>
      </c>
      <c r="G3123" s="148">
        <v>5.3443000000000005</v>
      </c>
      <c r="H3123" s="148">
        <v>5.4542000000000002</v>
      </c>
      <c r="I3123" s="148">
        <v>5.5640999999999998</v>
      </c>
      <c r="J3123" s="148">
        <v>5.6294000000000004</v>
      </c>
      <c r="K3123" s="148">
        <v>5.6742000000000008</v>
      </c>
      <c r="L3123" s="148">
        <v>5.6997</v>
      </c>
      <c r="M3123" s="148">
        <v>5.7250999999999994</v>
      </c>
    </row>
    <row r="3124" spans="2:13" x14ac:dyDescent="0.2">
      <c r="C3124" t="s">
        <v>934</v>
      </c>
      <c r="D3124" s="149"/>
      <c r="E3124" s="148">
        <v>125.82990000000001</v>
      </c>
      <c r="F3124" s="148">
        <v>127.25219999999999</v>
      </c>
      <c r="G3124" s="148">
        <v>128.6737</v>
      </c>
      <c r="H3124" s="148">
        <v>130.096</v>
      </c>
      <c r="I3124" s="148">
        <v>131.518</v>
      </c>
      <c r="J3124" s="148">
        <v>132.01680000000002</v>
      </c>
      <c r="K3124" s="148">
        <v>134.36170000000001</v>
      </c>
      <c r="L3124" s="148">
        <v>135.7842</v>
      </c>
      <c r="M3124" s="148">
        <v>137.20599999999999</v>
      </c>
    </row>
    <row r="3125" spans="2:13" x14ac:dyDescent="0.2">
      <c r="C3125" t="s">
        <v>935</v>
      </c>
      <c r="D3125" s="148">
        <v>94.892499999999998</v>
      </c>
      <c r="E3125" s="148">
        <v>90.737999999999985</v>
      </c>
      <c r="F3125" s="148">
        <v>94.4619</v>
      </c>
      <c r="G3125" s="148">
        <v>84.899599999999992</v>
      </c>
      <c r="H3125" s="148">
        <v>62.432400000000001</v>
      </c>
      <c r="I3125" s="148">
        <v>42.410399999999996</v>
      </c>
      <c r="J3125" s="148">
        <v>10.148800000000001</v>
      </c>
      <c r="K3125" s="149">
        <v>0</v>
      </c>
      <c r="L3125" s="149">
        <v>0</v>
      </c>
      <c r="M3125" s="149">
        <v>0</v>
      </c>
    </row>
    <row r="3126" spans="2:13" x14ac:dyDescent="0.2">
      <c r="C3126" t="s">
        <v>1213</v>
      </c>
      <c r="D3126" s="149">
        <v>0</v>
      </c>
      <c r="E3126" s="149">
        <v>0</v>
      </c>
      <c r="F3126" s="148">
        <v>0</v>
      </c>
      <c r="G3126" s="148">
        <v>0</v>
      </c>
      <c r="H3126" s="148">
        <v>0</v>
      </c>
      <c r="I3126" s="148">
        <v>24.818399999999997</v>
      </c>
      <c r="J3126" s="148">
        <v>22.728400000000001</v>
      </c>
      <c r="K3126" s="148">
        <v>35.101199999999999</v>
      </c>
      <c r="L3126" s="148">
        <v>35.685099999999998</v>
      </c>
      <c r="M3126" s="148">
        <v>0</v>
      </c>
    </row>
    <row r="3127" spans="2:13" x14ac:dyDescent="0.2">
      <c r="C3127" t="s">
        <v>1212</v>
      </c>
      <c r="D3127" s="149">
        <v>0</v>
      </c>
      <c r="E3127" s="149">
        <v>0</v>
      </c>
      <c r="F3127" s="148">
        <v>6.4067000000000007</v>
      </c>
      <c r="G3127" s="148">
        <v>7.0907999999999998</v>
      </c>
      <c r="H3127" s="148">
        <v>20.108400000000003</v>
      </c>
      <c r="I3127" s="148">
        <v>23.794800000000002</v>
      </c>
      <c r="J3127" s="148">
        <v>23.794800000000002</v>
      </c>
      <c r="K3127" s="148">
        <v>17.388300000000001</v>
      </c>
      <c r="L3127" s="148">
        <v>19.1586</v>
      </c>
      <c r="M3127" s="148">
        <v>67.7346</v>
      </c>
    </row>
    <row r="3128" spans="2:13" x14ac:dyDescent="0.2">
      <c r="C3128" t="s">
        <v>1214</v>
      </c>
      <c r="D3128" s="149">
        <v>0</v>
      </c>
      <c r="E3128" s="148">
        <v>3.4699999999999995E-2</v>
      </c>
      <c r="F3128" s="148">
        <v>3.4699999999999995E-2</v>
      </c>
      <c r="G3128" s="148">
        <v>1.1294999999999999</v>
      </c>
      <c r="H3128" s="148">
        <v>4.0206999999999997</v>
      </c>
      <c r="I3128" s="148">
        <v>3.3092999999999999</v>
      </c>
      <c r="J3128" s="148">
        <v>3.8</v>
      </c>
      <c r="K3128" s="148">
        <v>10.2119</v>
      </c>
      <c r="L3128" s="148">
        <v>11.0131</v>
      </c>
      <c r="M3128" s="148">
        <v>0</v>
      </c>
    </row>
    <row r="3129" spans="2:13" x14ac:dyDescent="0.2">
      <c r="C3129" t="s">
        <v>8</v>
      </c>
      <c r="D3129" s="149">
        <v>0</v>
      </c>
      <c r="E3129" s="148">
        <v>0.13189999999999999</v>
      </c>
      <c r="F3129" s="148">
        <v>1.1049</v>
      </c>
      <c r="G3129" s="148">
        <v>11.028399999999998</v>
      </c>
      <c r="H3129" s="148">
        <v>14.669599999999999</v>
      </c>
      <c r="I3129" s="148">
        <v>14.759599999999999</v>
      </c>
      <c r="J3129" s="148">
        <v>14.849599999999999</v>
      </c>
      <c r="K3129" s="148">
        <v>14.9396</v>
      </c>
      <c r="L3129" s="148">
        <v>15.029499999999999</v>
      </c>
      <c r="M3129" s="148">
        <v>15.1195</v>
      </c>
    </row>
    <row r="3130" spans="2:13" x14ac:dyDescent="0.2">
      <c r="C3130" t="s">
        <v>1210</v>
      </c>
      <c r="D3130" s="149">
        <v>0</v>
      </c>
      <c r="E3130" s="148">
        <v>0.29910000000000003</v>
      </c>
      <c r="F3130" s="148">
        <v>0.2616</v>
      </c>
      <c r="G3130" s="148">
        <v>0.22439999999999999</v>
      </c>
      <c r="H3130" s="148">
        <v>0.18679999999999999</v>
      </c>
      <c r="I3130" s="148">
        <v>5.7854999999999999</v>
      </c>
      <c r="J3130" s="148">
        <v>46.987299999999991</v>
      </c>
      <c r="K3130" s="148">
        <v>49.292499999999997</v>
      </c>
      <c r="L3130" s="148">
        <v>49.292599999999986</v>
      </c>
      <c r="M3130" s="148">
        <v>49.292599999999986</v>
      </c>
    </row>
    <row r="3132" spans="2:13" x14ac:dyDescent="0.2">
      <c r="C3132" s="13" t="s">
        <v>1097</v>
      </c>
    </row>
    <row r="3133" spans="2:13" x14ac:dyDescent="0.2">
      <c r="C3133" t="s">
        <v>1209</v>
      </c>
      <c r="D3133" s="1">
        <f>D3123/3.6</f>
        <v>1.4999999999999999E-2</v>
      </c>
      <c r="E3133" s="1">
        <f t="shared" ref="E3133:M3133" si="1051">E3123/3.6</f>
        <v>1.4443333333333335</v>
      </c>
      <c r="F3133" s="1">
        <f t="shared" si="1051"/>
        <v>1.4445277777777776</v>
      </c>
      <c r="G3133" s="1">
        <f t="shared" si="1051"/>
        <v>1.4845277777777779</v>
      </c>
      <c r="H3133" s="1">
        <f t="shared" si="1051"/>
        <v>1.5150555555555556</v>
      </c>
      <c r="I3133" s="1">
        <f t="shared" si="1051"/>
        <v>1.5455833333333333</v>
      </c>
      <c r="J3133" s="1">
        <f t="shared" si="1051"/>
        <v>1.5637222222222222</v>
      </c>
      <c r="K3133" s="1">
        <f t="shared" si="1051"/>
        <v>1.5761666666666669</v>
      </c>
      <c r="L3133" s="1">
        <f t="shared" si="1051"/>
        <v>1.58325</v>
      </c>
      <c r="M3133" s="1">
        <f t="shared" si="1051"/>
        <v>1.5903055555555554</v>
      </c>
    </row>
    <row r="3134" spans="2:13" x14ac:dyDescent="0.2">
      <c r="C3134" t="s">
        <v>934</v>
      </c>
      <c r="D3134" s="6"/>
      <c r="E3134" s="1">
        <f t="shared" ref="E3134:M3134" si="1052">E3124/3.6</f>
        <v>34.952750000000002</v>
      </c>
      <c r="F3134" s="1">
        <f t="shared" si="1052"/>
        <v>35.347833333333327</v>
      </c>
      <c r="G3134" s="1">
        <f t="shared" si="1052"/>
        <v>35.742694444444446</v>
      </c>
      <c r="H3134" s="1">
        <f t="shared" si="1052"/>
        <v>36.137777777777778</v>
      </c>
      <c r="I3134" s="1">
        <f t="shared" si="1052"/>
        <v>36.532777777777774</v>
      </c>
      <c r="J3134" s="1">
        <f t="shared" si="1052"/>
        <v>36.671333333333337</v>
      </c>
      <c r="K3134" s="1">
        <f t="shared" si="1052"/>
        <v>37.322694444444444</v>
      </c>
      <c r="L3134" s="1">
        <f t="shared" si="1052"/>
        <v>37.717833333333331</v>
      </c>
      <c r="M3134" s="1">
        <f t="shared" si="1052"/>
        <v>38.112777777777772</v>
      </c>
    </row>
    <row r="3135" spans="2:13" x14ac:dyDescent="0.2">
      <c r="C3135" t="s">
        <v>935</v>
      </c>
      <c r="D3135" s="1">
        <f>D3125/3.6</f>
        <v>26.359027777777776</v>
      </c>
      <c r="E3135" s="1">
        <f t="shared" ref="E3135:M3135" si="1053">E3125/3.6</f>
        <v>25.204999999999995</v>
      </c>
      <c r="F3135" s="1">
        <f t="shared" si="1053"/>
        <v>26.239416666666667</v>
      </c>
      <c r="G3135" s="1">
        <f t="shared" si="1053"/>
        <v>23.583222222222219</v>
      </c>
      <c r="H3135" s="1">
        <f t="shared" si="1053"/>
        <v>17.342333333333332</v>
      </c>
      <c r="I3135" s="1">
        <f t="shared" si="1053"/>
        <v>11.780666666666665</v>
      </c>
      <c r="J3135" s="1">
        <f t="shared" si="1053"/>
        <v>2.8191111111111113</v>
      </c>
      <c r="K3135" s="6">
        <f t="shared" si="1053"/>
        <v>0</v>
      </c>
      <c r="L3135" s="6">
        <f t="shared" si="1053"/>
        <v>0</v>
      </c>
      <c r="M3135" s="6">
        <f t="shared" si="1053"/>
        <v>0</v>
      </c>
    </row>
    <row r="3136" spans="2:13" x14ac:dyDescent="0.2">
      <c r="C3136" t="s">
        <v>1213</v>
      </c>
      <c r="D3136" s="6">
        <f t="shared" ref="D3136:M3136" si="1054">D3126/3.6</f>
        <v>0</v>
      </c>
      <c r="E3136" s="6">
        <f t="shared" si="1054"/>
        <v>0</v>
      </c>
      <c r="F3136" s="1">
        <f t="shared" si="1054"/>
        <v>0</v>
      </c>
      <c r="G3136" s="1">
        <f t="shared" si="1054"/>
        <v>0</v>
      </c>
      <c r="H3136" s="1">
        <f t="shared" si="1054"/>
        <v>0</v>
      </c>
      <c r="I3136" s="1">
        <f t="shared" si="1054"/>
        <v>6.8939999999999992</v>
      </c>
      <c r="J3136" s="1">
        <f t="shared" si="1054"/>
        <v>6.3134444444444444</v>
      </c>
      <c r="K3136" s="1">
        <f t="shared" si="1054"/>
        <v>9.750333333333332</v>
      </c>
      <c r="L3136" s="1">
        <f t="shared" si="1054"/>
        <v>9.9125277777777772</v>
      </c>
      <c r="M3136" s="1">
        <f t="shared" si="1054"/>
        <v>0</v>
      </c>
    </row>
    <row r="3137" spans="2:13" x14ac:dyDescent="0.2">
      <c r="C3137" t="s">
        <v>1212</v>
      </c>
      <c r="D3137" s="6">
        <f t="shared" ref="D3137:M3137" si="1055">D3127/3.6</f>
        <v>0</v>
      </c>
      <c r="E3137" s="6">
        <f t="shared" si="1055"/>
        <v>0</v>
      </c>
      <c r="F3137" s="1">
        <f t="shared" si="1055"/>
        <v>1.779638888888889</v>
      </c>
      <c r="G3137" s="1">
        <f t="shared" si="1055"/>
        <v>1.9696666666666665</v>
      </c>
      <c r="H3137" s="1">
        <f t="shared" si="1055"/>
        <v>5.5856666666666674</v>
      </c>
      <c r="I3137" s="1">
        <f t="shared" si="1055"/>
        <v>6.6096666666666675</v>
      </c>
      <c r="J3137" s="1">
        <f t="shared" si="1055"/>
        <v>6.6096666666666675</v>
      </c>
      <c r="K3137" s="1">
        <f t="shared" si="1055"/>
        <v>4.8300833333333335</v>
      </c>
      <c r="L3137" s="1">
        <f t="shared" si="1055"/>
        <v>5.3218333333333332</v>
      </c>
      <c r="M3137" s="1">
        <f t="shared" si="1055"/>
        <v>18.815166666666666</v>
      </c>
    </row>
    <row r="3138" spans="2:13" x14ac:dyDescent="0.2">
      <c r="C3138" t="s">
        <v>1214</v>
      </c>
      <c r="D3138" s="6">
        <f t="shared" ref="D3138:M3138" si="1056">D3128/3.6</f>
        <v>0</v>
      </c>
      <c r="E3138" s="1">
        <f t="shared" si="1056"/>
        <v>9.6388888888888878E-3</v>
      </c>
      <c r="F3138" s="1">
        <f t="shared" si="1056"/>
        <v>9.6388888888888878E-3</v>
      </c>
      <c r="G3138" s="1">
        <f t="shared" si="1056"/>
        <v>0.31374999999999997</v>
      </c>
      <c r="H3138" s="1">
        <f t="shared" si="1056"/>
        <v>1.1168611111111111</v>
      </c>
      <c r="I3138" s="1">
        <f t="shared" si="1056"/>
        <v>0.9192499999999999</v>
      </c>
      <c r="J3138" s="1">
        <f t="shared" si="1056"/>
        <v>1.0555555555555556</v>
      </c>
      <c r="K3138" s="1">
        <f t="shared" si="1056"/>
        <v>2.8366388888888889</v>
      </c>
      <c r="L3138" s="1">
        <f t="shared" si="1056"/>
        <v>3.0591944444444441</v>
      </c>
      <c r="M3138" s="1">
        <f t="shared" si="1056"/>
        <v>0</v>
      </c>
    </row>
    <row r="3139" spans="2:13" x14ac:dyDescent="0.2">
      <c r="C3139" t="s">
        <v>8</v>
      </c>
      <c r="D3139" s="6">
        <f t="shared" ref="D3139:M3139" si="1057">D3129/3.6</f>
        <v>0</v>
      </c>
      <c r="E3139" s="1">
        <f t="shared" si="1057"/>
        <v>3.6638888888888888E-2</v>
      </c>
      <c r="F3139" s="1">
        <f t="shared" si="1057"/>
        <v>0.30691666666666667</v>
      </c>
      <c r="G3139" s="1">
        <f t="shared" si="1057"/>
        <v>3.0634444444444435</v>
      </c>
      <c r="H3139" s="1">
        <f t="shared" si="1057"/>
        <v>4.0748888888888883</v>
      </c>
      <c r="I3139" s="1">
        <f t="shared" si="1057"/>
        <v>4.0998888888888887</v>
      </c>
      <c r="J3139" s="1">
        <f t="shared" si="1057"/>
        <v>4.1248888888888882</v>
      </c>
      <c r="K3139" s="1">
        <f t="shared" si="1057"/>
        <v>4.1498888888888885</v>
      </c>
      <c r="L3139" s="1">
        <f t="shared" si="1057"/>
        <v>4.1748611111111105</v>
      </c>
      <c r="M3139" s="1">
        <f t="shared" si="1057"/>
        <v>4.1998611111111108</v>
      </c>
    </row>
    <row r="3140" spans="2:13" x14ac:dyDescent="0.2">
      <c r="C3140" t="s">
        <v>1210</v>
      </c>
      <c r="D3140" s="6">
        <f t="shared" ref="D3140:M3140" si="1058">D3130/3.6</f>
        <v>0</v>
      </c>
      <c r="E3140" s="1">
        <f t="shared" si="1058"/>
        <v>8.3083333333333342E-2</v>
      </c>
      <c r="F3140" s="1">
        <f t="shared" si="1058"/>
        <v>7.2666666666666671E-2</v>
      </c>
      <c r="G3140" s="1">
        <f t="shared" si="1058"/>
        <v>6.2333333333333331E-2</v>
      </c>
      <c r="H3140" s="1">
        <f t="shared" si="1058"/>
        <v>5.1888888888888887E-2</v>
      </c>
      <c r="I3140" s="1">
        <f t="shared" si="1058"/>
        <v>1.6070833333333332</v>
      </c>
      <c r="J3140" s="1">
        <f t="shared" si="1058"/>
        <v>13.052027777777775</v>
      </c>
      <c r="K3140" s="1">
        <f t="shared" si="1058"/>
        <v>13.69236111111111</v>
      </c>
      <c r="L3140" s="1">
        <f t="shared" si="1058"/>
        <v>13.692388888888885</v>
      </c>
      <c r="M3140" s="1">
        <f t="shared" si="1058"/>
        <v>13.692388888888885</v>
      </c>
    </row>
    <row r="3143" spans="2:13" ht="15" x14ac:dyDescent="0.25">
      <c r="B3143" s="2" t="s">
        <v>1241</v>
      </c>
    </row>
    <row r="3144" spans="2:13" x14ac:dyDescent="0.2">
      <c r="C3144" s="13" t="s">
        <v>1242</v>
      </c>
    </row>
    <row r="3145" spans="2:13" x14ac:dyDescent="0.2">
      <c r="C3145" t="s">
        <v>1243</v>
      </c>
      <c r="E3145">
        <v>7.5</v>
      </c>
      <c r="F3145" s="109">
        <f>1/2*(E3145+G3145)</f>
        <v>9.25</v>
      </c>
      <c r="G3145">
        <v>11</v>
      </c>
      <c r="H3145" s="109">
        <f>1/2*(G3145+I3145)</f>
        <v>12</v>
      </c>
      <c r="I3145">
        <v>13</v>
      </c>
      <c r="J3145" s="109">
        <f>1/2*(I3145+K3145)</f>
        <v>13</v>
      </c>
      <c r="K3145">
        <v>13</v>
      </c>
      <c r="L3145" s="109">
        <f>1/2*(K3145+M3145)</f>
        <v>13.5</v>
      </c>
      <c r="M3145">
        <v>14</v>
      </c>
    </row>
  </sheetData>
  <sortState ref="C2582:M2599">
    <sortCondition ref="D2582:D2599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1241"/>
  <sheetViews>
    <sheetView topLeftCell="A1079" workbookViewId="0">
      <selection activeCell="H232" sqref="H232"/>
    </sheetView>
  </sheetViews>
  <sheetFormatPr defaultRowHeight="14.25" x14ac:dyDescent="0.2"/>
  <cols>
    <col min="1" max="1" width="2.375" customWidth="1"/>
    <col min="2" max="2" width="5.125" customWidth="1"/>
    <col min="3" max="3" width="37.5" customWidth="1"/>
  </cols>
  <sheetData>
    <row r="2" spans="2:14" s="2" customFormat="1" ht="34.5" x14ac:dyDescent="0.45">
      <c r="D2" s="73" t="s">
        <v>391</v>
      </c>
    </row>
    <row r="4" spans="2:14" ht="15" x14ac:dyDescent="0.25">
      <c r="B4" s="2" t="s">
        <v>391</v>
      </c>
    </row>
    <row r="5" spans="2:14" ht="15" x14ac:dyDescent="0.25">
      <c r="B5" s="13" t="s">
        <v>440</v>
      </c>
      <c r="D5" s="2">
        <v>2000</v>
      </c>
      <c r="E5" s="2">
        <v>2005</v>
      </c>
      <c r="F5" s="2">
        <v>2010</v>
      </c>
      <c r="G5" s="2">
        <v>2015</v>
      </c>
      <c r="H5" s="2">
        <v>2020</v>
      </c>
      <c r="I5" s="2">
        <v>2025</v>
      </c>
      <c r="J5" s="2">
        <v>2030</v>
      </c>
      <c r="K5" s="2">
        <v>2035</v>
      </c>
      <c r="L5" s="2">
        <v>2040</v>
      </c>
      <c r="M5" s="2">
        <v>2045</v>
      </c>
      <c r="N5" s="2">
        <v>2050</v>
      </c>
    </row>
    <row r="6" spans="2:14" x14ac:dyDescent="0.2">
      <c r="C6" s="9" t="s">
        <v>545</v>
      </c>
      <c r="D6">
        <v>56.6</v>
      </c>
      <c r="E6">
        <v>63.5</v>
      </c>
      <c r="F6">
        <v>67</v>
      </c>
      <c r="G6">
        <v>65.099999999999994</v>
      </c>
      <c r="H6">
        <v>64.599999999999994</v>
      </c>
      <c r="I6">
        <v>64.3</v>
      </c>
      <c r="J6">
        <v>64</v>
      </c>
      <c r="K6">
        <v>63.8</v>
      </c>
      <c r="L6">
        <v>63.7</v>
      </c>
      <c r="M6">
        <v>63.9</v>
      </c>
      <c r="N6">
        <v>64.099999999999994</v>
      </c>
    </row>
    <row r="7" spans="2:14" x14ac:dyDescent="0.2">
      <c r="C7" s="9" t="s">
        <v>546</v>
      </c>
      <c r="D7">
        <v>53.9</v>
      </c>
      <c r="E7">
        <v>60.5</v>
      </c>
      <c r="F7">
        <v>63.8</v>
      </c>
      <c r="G7">
        <v>67.3</v>
      </c>
      <c r="H7">
        <v>71.400000000000006</v>
      </c>
      <c r="I7">
        <v>73.900000000000006</v>
      </c>
      <c r="J7">
        <v>76.7</v>
      </c>
      <c r="K7">
        <v>79.900000000000006</v>
      </c>
      <c r="L7">
        <v>83.4</v>
      </c>
      <c r="M7">
        <v>87.5</v>
      </c>
      <c r="N7">
        <v>92.1</v>
      </c>
    </row>
    <row r="8" spans="2:14" x14ac:dyDescent="0.2">
      <c r="C8" s="9" t="s">
        <v>547</v>
      </c>
      <c r="D8">
        <v>65.099999999999994</v>
      </c>
      <c r="E8">
        <v>68</v>
      </c>
      <c r="F8">
        <v>69.400000000000006</v>
      </c>
      <c r="G8">
        <v>70.8</v>
      </c>
      <c r="H8">
        <v>71.5</v>
      </c>
      <c r="I8">
        <v>70.8</v>
      </c>
      <c r="J8">
        <v>70</v>
      </c>
      <c r="K8">
        <v>69.3</v>
      </c>
      <c r="L8">
        <v>69.099999999999994</v>
      </c>
      <c r="M8">
        <v>68.900000000000006</v>
      </c>
      <c r="N8">
        <v>68.599999999999994</v>
      </c>
    </row>
    <row r="9" spans="2:14" x14ac:dyDescent="0.2">
      <c r="C9" s="22" t="s">
        <v>548</v>
      </c>
      <c r="D9" s="14">
        <v>9.5</v>
      </c>
      <c r="E9" s="14">
        <v>10.7</v>
      </c>
      <c r="F9" s="14">
        <v>11.4</v>
      </c>
      <c r="G9" s="14">
        <v>12.4</v>
      </c>
      <c r="H9" s="14">
        <v>13.8</v>
      </c>
      <c r="I9" s="14">
        <v>15.2</v>
      </c>
      <c r="J9" s="14">
        <v>17.100000000000001</v>
      </c>
      <c r="K9" s="14">
        <v>19</v>
      </c>
      <c r="L9" s="14">
        <v>21.1</v>
      </c>
      <c r="M9" s="14">
        <v>22.6</v>
      </c>
      <c r="N9" s="14">
        <v>23.7</v>
      </c>
    </row>
    <row r="10" spans="2:14" x14ac:dyDescent="0.2">
      <c r="C10" t="s">
        <v>549</v>
      </c>
      <c r="D10" s="20">
        <f>SUM(D6:D9)</f>
        <v>185.1</v>
      </c>
      <c r="E10" s="20">
        <f t="shared" ref="E10:N10" si="0">SUM(E6:E9)</f>
        <v>202.7</v>
      </c>
      <c r="F10" s="20">
        <f t="shared" si="0"/>
        <v>211.60000000000002</v>
      </c>
      <c r="G10" s="20">
        <f t="shared" si="0"/>
        <v>215.6</v>
      </c>
      <c r="H10" s="20">
        <f t="shared" si="0"/>
        <v>221.3</v>
      </c>
      <c r="I10" s="20">
        <f t="shared" si="0"/>
        <v>224.2</v>
      </c>
      <c r="J10" s="20">
        <f t="shared" si="0"/>
        <v>227.79999999999998</v>
      </c>
      <c r="K10" s="20">
        <f t="shared" si="0"/>
        <v>232</v>
      </c>
      <c r="L10" s="20">
        <f t="shared" si="0"/>
        <v>237.3</v>
      </c>
      <c r="M10" s="20">
        <f t="shared" si="0"/>
        <v>242.9</v>
      </c>
      <c r="N10" s="20">
        <f t="shared" si="0"/>
        <v>248.49999999999997</v>
      </c>
    </row>
    <row r="11" spans="2:14" x14ac:dyDescent="0.2">
      <c r="C11" t="s">
        <v>550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0.1</v>
      </c>
      <c r="L11">
        <v>0.5</v>
      </c>
      <c r="M11">
        <v>1</v>
      </c>
      <c r="N11">
        <v>1.8</v>
      </c>
    </row>
    <row r="13" spans="2:14" x14ac:dyDescent="0.2">
      <c r="C13" s="9" t="s">
        <v>551</v>
      </c>
      <c r="D13">
        <v>56.6</v>
      </c>
      <c r="E13">
        <v>63.5</v>
      </c>
      <c r="F13">
        <v>67</v>
      </c>
      <c r="G13">
        <v>65.099999999999994</v>
      </c>
      <c r="H13">
        <v>63.9</v>
      </c>
      <c r="I13">
        <v>61.9</v>
      </c>
      <c r="J13">
        <v>58.7</v>
      </c>
      <c r="K13">
        <v>55.9</v>
      </c>
      <c r="L13">
        <v>53.3</v>
      </c>
      <c r="M13">
        <v>50.9</v>
      </c>
      <c r="N13">
        <v>48.4</v>
      </c>
    </row>
    <row r="14" spans="2:14" x14ac:dyDescent="0.2">
      <c r="C14" s="9" t="s">
        <v>552</v>
      </c>
      <c r="D14">
        <v>53.9</v>
      </c>
      <c r="E14">
        <v>60.5</v>
      </c>
      <c r="F14">
        <v>63.8</v>
      </c>
      <c r="G14">
        <v>63.7</v>
      </c>
      <c r="H14">
        <v>63.5</v>
      </c>
      <c r="I14">
        <v>61.7</v>
      </c>
      <c r="J14">
        <v>60.1</v>
      </c>
      <c r="K14">
        <v>58.7</v>
      </c>
      <c r="L14">
        <v>57.6</v>
      </c>
      <c r="M14">
        <v>56.7</v>
      </c>
      <c r="N14">
        <v>56</v>
      </c>
    </row>
    <row r="15" spans="2:14" x14ac:dyDescent="0.2">
      <c r="C15" s="9" t="s">
        <v>553</v>
      </c>
      <c r="D15">
        <v>65.099999999999994</v>
      </c>
      <c r="E15">
        <v>68</v>
      </c>
      <c r="F15">
        <v>69.400000000000006</v>
      </c>
      <c r="G15">
        <v>70.8</v>
      </c>
      <c r="H15">
        <v>66.599999999999994</v>
      </c>
      <c r="I15">
        <v>61.7</v>
      </c>
      <c r="J15">
        <v>57.2</v>
      </c>
      <c r="K15">
        <v>53.5</v>
      </c>
      <c r="L15">
        <v>50.6</v>
      </c>
      <c r="M15">
        <v>47.9</v>
      </c>
      <c r="N15">
        <v>45.5</v>
      </c>
    </row>
    <row r="16" spans="2:14" x14ac:dyDescent="0.2">
      <c r="C16" s="22" t="s">
        <v>554</v>
      </c>
      <c r="D16" s="14">
        <v>9.5</v>
      </c>
      <c r="E16" s="14">
        <v>10.7</v>
      </c>
      <c r="F16" s="14">
        <v>11.4</v>
      </c>
      <c r="G16" s="14">
        <v>13.4</v>
      </c>
      <c r="H16" s="14">
        <v>16.5</v>
      </c>
      <c r="I16" s="14">
        <v>19.600000000000001</v>
      </c>
      <c r="J16" s="14">
        <v>24.6</v>
      </c>
      <c r="K16" s="14">
        <v>30</v>
      </c>
      <c r="L16" s="14">
        <v>34.6</v>
      </c>
      <c r="M16" s="14">
        <v>38.1</v>
      </c>
      <c r="N16" s="14">
        <v>41</v>
      </c>
    </row>
    <row r="17" spans="2:14" x14ac:dyDescent="0.2">
      <c r="C17" t="s">
        <v>555</v>
      </c>
      <c r="D17" s="20">
        <f>SUM(D13:D16)</f>
        <v>185.1</v>
      </c>
      <c r="E17" s="20">
        <f t="shared" ref="E17:N17" si="1">SUM(E13:E16)</f>
        <v>202.7</v>
      </c>
      <c r="F17" s="20">
        <f t="shared" si="1"/>
        <v>211.60000000000002</v>
      </c>
      <c r="G17" s="20">
        <f t="shared" si="1"/>
        <v>213.00000000000003</v>
      </c>
      <c r="H17" s="20">
        <f t="shared" si="1"/>
        <v>210.5</v>
      </c>
      <c r="I17" s="20">
        <f t="shared" si="1"/>
        <v>204.9</v>
      </c>
      <c r="J17" s="20">
        <f t="shared" si="1"/>
        <v>200.6</v>
      </c>
      <c r="K17" s="20">
        <f t="shared" si="1"/>
        <v>198.1</v>
      </c>
      <c r="L17" s="20">
        <f t="shared" si="1"/>
        <v>196.1</v>
      </c>
      <c r="M17" s="20">
        <f t="shared" si="1"/>
        <v>193.6</v>
      </c>
      <c r="N17" s="20">
        <f t="shared" si="1"/>
        <v>190.9</v>
      </c>
    </row>
    <row r="18" spans="2:14" x14ac:dyDescent="0.2">
      <c r="C18" t="s">
        <v>556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0.2</v>
      </c>
      <c r="L18">
        <v>0.6</v>
      </c>
      <c r="M18">
        <v>1.4</v>
      </c>
      <c r="N18">
        <v>2.2999999999999998</v>
      </c>
    </row>
    <row r="20" spans="2:14" x14ac:dyDescent="0.2">
      <c r="C20" s="9" t="s">
        <v>557</v>
      </c>
      <c r="D20">
        <v>56.6</v>
      </c>
      <c r="E20">
        <v>63.5</v>
      </c>
      <c r="F20">
        <v>67</v>
      </c>
      <c r="G20">
        <v>65.099999999999994</v>
      </c>
      <c r="H20">
        <v>63.7</v>
      </c>
      <c r="I20">
        <v>61.5</v>
      </c>
      <c r="J20">
        <v>58.8</v>
      </c>
      <c r="K20">
        <v>56.7</v>
      </c>
      <c r="L20">
        <v>55.6</v>
      </c>
      <c r="M20">
        <v>54.9</v>
      </c>
      <c r="N20">
        <v>54.4</v>
      </c>
    </row>
    <row r="21" spans="2:14" x14ac:dyDescent="0.2">
      <c r="C21" s="9" t="s">
        <v>558</v>
      </c>
      <c r="D21">
        <v>53.9</v>
      </c>
      <c r="E21">
        <v>60.5</v>
      </c>
      <c r="F21">
        <v>63.8</v>
      </c>
      <c r="G21">
        <v>66.599999999999994</v>
      </c>
      <c r="H21">
        <v>67.3</v>
      </c>
      <c r="I21">
        <v>67.7</v>
      </c>
      <c r="J21">
        <v>68.8</v>
      </c>
      <c r="K21">
        <v>70.599999999999994</v>
      </c>
      <c r="L21">
        <v>73</v>
      </c>
      <c r="M21">
        <v>75.900000000000006</v>
      </c>
      <c r="N21">
        <v>79.400000000000006</v>
      </c>
    </row>
    <row r="22" spans="2:14" x14ac:dyDescent="0.2">
      <c r="C22" s="9" t="s">
        <v>559</v>
      </c>
      <c r="D22">
        <v>65.099999999999994</v>
      </c>
      <c r="E22">
        <v>68</v>
      </c>
      <c r="F22">
        <v>69.400000000000006</v>
      </c>
      <c r="G22">
        <v>70.2</v>
      </c>
      <c r="H22">
        <v>65.599999999999994</v>
      </c>
      <c r="I22">
        <v>62.1</v>
      </c>
      <c r="J22">
        <v>59.3</v>
      </c>
      <c r="K22">
        <v>57.3</v>
      </c>
      <c r="L22">
        <v>56</v>
      </c>
      <c r="M22">
        <v>54.9</v>
      </c>
      <c r="N22">
        <v>53.7</v>
      </c>
    </row>
    <row r="23" spans="2:14" x14ac:dyDescent="0.2">
      <c r="C23" s="22" t="s">
        <v>560</v>
      </c>
      <c r="D23" s="14">
        <v>9.5</v>
      </c>
      <c r="E23" s="14">
        <v>10.7</v>
      </c>
      <c r="F23" s="14">
        <v>11.4</v>
      </c>
      <c r="G23" s="14">
        <v>12.5</v>
      </c>
      <c r="H23" s="14">
        <v>14.4</v>
      </c>
      <c r="I23" s="14">
        <v>16.7</v>
      </c>
      <c r="J23" s="14">
        <v>20.2</v>
      </c>
      <c r="K23" s="14">
        <v>23.8</v>
      </c>
      <c r="L23" s="14">
        <v>27.2</v>
      </c>
      <c r="M23" s="14">
        <v>29.8</v>
      </c>
      <c r="N23" s="14">
        <v>31.5</v>
      </c>
    </row>
    <row r="24" spans="2:14" x14ac:dyDescent="0.2">
      <c r="C24" t="s">
        <v>561</v>
      </c>
      <c r="D24" s="20">
        <f>SUM(D20:D23)</f>
        <v>185.1</v>
      </c>
      <c r="E24" s="20">
        <f t="shared" ref="E24:N24" si="2">SUM(E20:E23)</f>
        <v>202.7</v>
      </c>
      <c r="F24" s="20">
        <f t="shared" si="2"/>
        <v>211.60000000000002</v>
      </c>
      <c r="G24" s="20">
        <f t="shared" si="2"/>
        <v>214.39999999999998</v>
      </c>
      <c r="H24" s="20">
        <f t="shared" si="2"/>
        <v>211</v>
      </c>
      <c r="I24" s="20">
        <f t="shared" si="2"/>
        <v>207.99999999999997</v>
      </c>
      <c r="J24" s="20">
        <f t="shared" si="2"/>
        <v>207.09999999999997</v>
      </c>
      <c r="K24" s="20">
        <f t="shared" si="2"/>
        <v>208.4</v>
      </c>
      <c r="L24" s="20">
        <f t="shared" si="2"/>
        <v>211.79999999999998</v>
      </c>
      <c r="M24" s="20">
        <f t="shared" si="2"/>
        <v>215.50000000000003</v>
      </c>
      <c r="N24" s="20">
        <f t="shared" si="2"/>
        <v>219</v>
      </c>
    </row>
    <row r="25" spans="2:14" x14ac:dyDescent="0.2">
      <c r="C25" t="s">
        <v>562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0.2</v>
      </c>
      <c r="L25">
        <v>0.7</v>
      </c>
      <c r="M25">
        <v>1.5</v>
      </c>
      <c r="N25">
        <v>2.5</v>
      </c>
    </row>
    <row r="27" spans="2:14" ht="15" x14ac:dyDescent="0.25">
      <c r="B27" s="2" t="s">
        <v>391</v>
      </c>
    </row>
    <row r="28" spans="2:14" x14ac:dyDescent="0.2">
      <c r="B28" s="13" t="s">
        <v>563</v>
      </c>
    </row>
    <row r="29" spans="2:14" x14ac:dyDescent="0.2">
      <c r="C29" t="str">
        <f t="shared" ref="C29:C34" si="3">C6</f>
        <v>Privathaushalte, WWB</v>
      </c>
      <c r="D29" s="4">
        <f t="shared" ref="D29:N34" si="4">D6/3.6</f>
        <v>15.722222222222221</v>
      </c>
      <c r="E29" s="4">
        <f t="shared" si="4"/>
        <v>17.638888888888889</v>
      </c>
      <c r="F29" s="4">
        <f t="shared" si="4"/>
        <v>18.611111111111111</v>
      </c>
      <c r="G29" s="4">
        <f t="shared" si="4"/>
        <v>18.083333333333332</v>
      </c>
      <c r="H29" s="4">
        <f t="shared" si="4"/>
        <v>17.944444444444443</v>
      </c>
      <c r="I29" s="4">
        <f t="shared" si="4"/>
        <v>17.861111111111111</v>
      </c>
      <c r="J29" s="4">
        <f t="shared" si="4"/>
        <v>17.777777777777779</v>
      </c>
      <c r="K29" s="4">
        <f t="shared" si="4"/>
        <v>17.722222222222221</v>
      </c>
      <c r="L29" s="4">
        <f t="shared" si="4"/>
        <v>17.694444444444446</v>
      </c>
      <c r="M29" s="4">
        <f t="shared" si="4"/>
        <v>17.75</v>
      </c>
      <c r="N29" s="4">
        <f t="shared" si="4"/>
        <v>17.805555555555554</v>
      </c>
    </row>
    <row r="30" spans="2:14" x14ac:dyDescent="0.2">
      <c r="C30" t="str">
        <f t="shared" si="3"/>
        <v>Dienstleistungen, WWB</v>
      </c>
      <c r="D30" s="4">
        <f t="shared" si="4"/>
        <v>14.972222222222221</v>
      </c>
      <c r="E30" s="4">
        <f t="shared" si="4"/>
        <v>16.805555555555554</v>
      </c>
      <c r="F30" s="4">
        <f t="shared" si="4"/>
        <v>17.722222222222221</v>
      </c>
      <c r="G30" s="4">
        <f t="shared" si="4"/>
        <v>18.694444444444443</v>
      </c>
      <c r="H30" s="4">
        <f t="shared" si="4"/>
        <v>19.833333333333336</v>
      </c>
      <c r="I30" s="4">
        <f t="shared" si="4"/>
        <v>20.527777777777779</v>
      </c>
      <c r="J30" s="4">
        <f t="shared" si="4"/>
        <v>21.305555555555557</v>
      </c>
      <c r="K30" s="4">
        <f t="shared" si="4"/>
        <v>22.194444444444446</v>
      </c>
      <c r="L30" s="4">
        <f t="shared" si="4"/>
        <v>23.166666666666668</v>
      </c>
      <c r="M30" s="4">
        <f t="shared" si="4"/>
        <v>24.305555555555554</v>
      </c>
      <c r="N30" s="4">
        <f t="shared" si="4"/>
        <v>25.583333333333332</v>
      </c>
    </row>
    <row r="31" spans="2:14" x14ac:dyDescent="0.2">
      <c r="C31" t="str">
        <f t="shared" si="3"/>
        <v>Industrie, WWB</v>
      </c>
      <c r="D31" s="4">
        <f t="shared" si="4"/>
        <v>18.083333333333332</v>
      </c>
      <c r="E31" s="4">
        <f t="shared" si="4"/>
        <v>18.888888888888889</v>
      </c>
      <c r="F31" s="4">
        <f t="shared" si="4"/>
        <v>19.277777777777779</v>
      </c>
      <c r="G31" s="4">
        <f t="shared" si="4"/>
        <v>19.666666666666664</v>
      </c>
      <c r="H31" s="4">
        <f t="shared" si="4"/>
        <v>19.861111111111111</v>
      </c>
      <c r="I31" s="4">
        <f t="shared" si="4"/>
        <v>19.666666666666664</v>
      </c>
      <c r="J31" s="4">
        <f t="shared" si="4"/>
        <v>19.444444444444443</v>
      </c>
      <c r="K31" s="4">
        <f t="shared" si="4"/>
        <v>19.25</v>
      </c>
      <c r="L31" s="4">
        <f t="shared" si="4"/>
        <v>19.194444444444443</v>
      </c>
      <c r="M31" s="4">
        <f t="shared" si="4"/>
        <v>19.138888888888889</v>
      </c>
      <c r="N31" s="4">
        <f t="shared" si="4"/>
        <v>19.055555555555554</v>
      </c>
    </row>
    <row r="32" spans="2:14" x14ac:dyDescent="0.2">
      <c r="C32" t="str">
        <f t="shared" si="3"/>
        <v>Verkehr, WWB</v>
      </c>
      <c r="D32" s="4">
        <f t="shared" si="4"/>
        <v>2.6388888888888888</v>
      </c>
      <c r="E32" s="4">
        <f t="shared" si="4"/>
        <v>2.9722222222222219</v>
      </c>
      <c r="F32" s="4">
        <f t="shared" si="4"/>
        <v>3.1666666666666665</v>
      </c>
      <c r="G32" s="4">
        <f t="shared" si="4"/>
        <v>3.4444444444444446</v>
      </c>
      <c r="H32" s="4">
        <f t="shared" si="4"/>
        <v>3.8333333333333335</v>
      </c>
      <c r="I32" s="4">
        <f t="shared" si="4"/>
        <v>4.2222222222222223</v>
      </c>
      <c r="J32" s="4">
        <f t="shared" si="4"/>
        <v>4.75</v>
      </c>
      <c r="K32" s="4">
        <f t="shared" si="4"/>
        <v>5.2777777777777777</v>
      </c>
      <c r="L32" s="4">
        <f t="shared" si="4"/>
        <v>5.8611111111111116</v>
      </c>
      <c r="M32" s="4">
        <f t="shared" si="4"/>
        <v>6.2777777777777777</v>
      </c>
      <c r="N32" s="4">
        <f t="shared" si="4"/>
        <v>6.583333333333333</v>
      </c>
    </row>
    <row r="33" spans="3:14" ht="15" x14ac:dyDescent="0.25">
      <c r="C33" s="14" t="str">
        <f t="shared" si="3"/>
        <v>Elektrizität, WWB</v>
      </c>
      <c r="D33" s="74">
        <f t="shared" si="4"/>
        <v>51.416666666666664</v>
      </c>
      <c r="E33" s="74">
        <f t="shared" si="4"/>
        <v>56.30555555555555</v>
      </c>
      <c r="F33" s="74">
        <f t="shared" si="4"/>
        <v>58.777777777777786</v>
      </c>
      <c r="G33" s="74">
        <f t="shared" si="4"/>
        <v>59.888888888888886</v>
      </c>
      <c r="H33" s="74">
        <f t="shared" si="4"/>
        <v>61.472222222222221</v>
      </c>
      <c r="I33" s="74">
        <f t="shared" si="4"/>
        <v>62.277777777777771</v>
      </c>
      <c r="J33" s="74">
        <f t="shared" si="4"/>
        <v>63.277777777777771</v>
      </c>
      <c r="K33" s="74">
        <f t="shared" si="4"/>
        <v>64.444444444444443</v>
      </c>
      <c r="L33" s="74">
        <f t="shared" si="4"/>
        <v>65.916666666666671</v>
      </c>
      <c r="M33" s="74">
        <f t="shared" si="4"/>
        <v>67.472222222222229</v>
      </c>
      <c r="N33" s="74">
        <f t="shared" si="4"/>
        <v>69.027777777777771</v>
      </c>
    </row>
    <row r="34" spans="3:14" x14ac:dyDescent="0.2">
      <c r="C34" s="29" t="str">
        <f t="shared" si="3"/>
        <v>Wasserstoff, Verkehr, WWB</v>
      </c>
      <c r="D34" s="30">
        <f t="shared" si="4"/>
        <v>0</v>
      </c>
      <c r="E34" s="30">
        <f t="shared" si="4"/>
        <v>0</v>
      </c>
      <c r="F34" s="30">
        <f t="shared" si="4"/>
        <v>0</v>
      </c>
      <c r="G34" s="30">
        <f t="shared" si="4"/>
        <v>0</v>
      </c>
      <c r="H34" s="30">
        <f t="shared" si="4"/>
        <v>0</v>
      </c>
      <c r="I34" s="30">
        <f t="shared" si="4"/>
        <v>0</v>
      </c>
      <c r="J34" s="30">
        <f t="shared" si="4"/>
        <v>0</v>
      </c>
      <c r="K34" s="30">
        <f t="shared" si="4"/>
        <v>2.777777777777778E-2</v>
      </c>
      <c r="L34" s="30">
        <f t="shared" si="4"/>
        <v>0.1388888888888889</v>
      </c>
      <c r="M34" s="30">
        <f t="shared" si="4"/>
        <v>0.27777777777777779</v>
      </c>
      <c r="N34" s="30">
        <f t="shared" si="4"/>
        <v>0.5</v>
      </c>
    </row>
    <row r="35" spans="3:14" x14ac:dyDescent="0.2"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3:14" x14ac:dyDescent="0.2">
      <c r="C36" t="str">
        <f t="shared" ref="C36:C41" si="5">C13</f>
        <v>Privathaushalte, NEP</v>
      </c>
      <c r="D36" s="4">
        <f t="shared" ref="D36:N41" si="6">D13/3.6</f>
        <v>15.722222222222221</v>
      </c>
      <c r="E36" s="4">
        <f t="shared" si="6"/>
        <v>17.638888888888889</v>
      </c>
      <c r="F36" s="4">
        <f t="shared" si="6"/>
        <v>18.611111111111111</v>
      </c>
      <c r="G36" s="4">
        <f t="shared" si="6"/>
        <v>18.083333333333332</v>
      </c>
      <c r="H36" s="4">
        <f t="shared" si="6"/>
        <v>17.75</v>
      </c>
      <c r="I36" s="4">
        <f t="shared" si="6"/>
        <v>17.194444444444443</v>
      </c>
      <c r="J36" s="4">
        <f t="shared" si="6"/>
        <v>16.305555555555557</v>
      </c>
      <c r="K36" s="4">
        <f t="shared" si="6"/>
        <v>15.527777777777777</v>
      </c>
      <c r="L36" s="4">
        <f t="shared" si="6"/>
        <v>14.805555555555554</v>
      </c>
      <c r="M36" s="4">
        <f t="shared" si="6"/>
        <v>14.138888888888888</v>
      </c>
      <c r="N36" s="4">
        <f t="shared" si="6"/>
        <v>13.444444444444443</v>
      </c>
    </row>
    <row r="37" spans="3:14" x14ac:dyDescent="0.2">
      <c r="C37" t="str">
        <f t="shared" si="5"/>
        <v>Dienstleistungen, NEP</v>
      </c>
      <c r="D37" s="4">
        <f t="shared" si="6"/>
        <v>14.972222222222221</v>
      </c>
      <c r="E37" s="4">
        <f t="shared" si="6"/>
        <v>16.805555555555554</v>
      </c>
      <c r="F37" s="4">
        <f t="shared" si="6"/>
        <v>17.722222222222221</v>
      </c>
      <c r="G37" s="4">
        <f t="shared" si="6"/>
        <v>17.694444444444446</v>
      </c>
      <c r="H37" s="4">
        <f t="shared" si="6"/>
        <v>17.638888888888889</v>
      </c>
      <c r="I37" s="4">
        <f t="shared" si="6"/>
        <v>17.138888888888889</v>
      </c>
      <c r="J37" s="4">
        <f t="shared" si="6"/>
        <v>16.694444444444443</v>
      </c>
      <c r="K37" s="4">
        <f t="shared" si="6"/>
        <v>16.305555555555557</v>
      </c>
      <c r="L37" s="4">
        <f t="shared" si="6"/>
        <v>16</v>
      </c>
      <c r="M37" s="4">
        <f t="shared" si="6"/>
        <v>15.75</v>
      </c>
      <c r="N37" s="4">
        <f t="shared" si="6"/>
        <v>15.555555555555555</v>
      </c>
    </row>
    <row r="38" spans="3:14" x14ac:dyDescent="0.2">
      <c r="C38" t="str">
        <f t="shared" si="5"/>
        <v>Industrie, NEP</v>
      </c>
      <c r="D38" s="4">
        <f t="shared" si="6"/>
        <v>18.083333333333332</v>
      </c>
      <c r="E38" s="4">
        <f t="shared" si="6"/>
        <v>18.888888888888889</v>
      </c>
      <c r="F38" s="4">
        <f t="shared" si="6"/>
        <v>19.277777777777779</v>
      </c>
      <c r="G38" s="4">
        <f t="shared" si="6"/>
        <v>19.666666666666664</v>
      </c>
      <c r="H38" s="4">
        <f t="shared" si="6"/>
        <v>18.499999999999996</v>
      </c>
      <c r="I38" s="4">
        <f t="shared" si="6"/>
        <v>17.138888888888889</v>
      </c>
      <c r="J38" s="4">
        <f t="shared" si="6"/>
        <v>15.888888888888889</v>
      </c>
      <c r="K38" s="4">
        <f t="shared" si="6"/>
        <v>14.861111111111111</v>
      </c>
      <c r="L38" s="4">
        <f t="shared" si="6"/>
        <v>14.055555555555555</v>
      </c>
      <c r="M38" s="4">
        <f t="shared" si="6"/>
        <v>13.305555555555555</v>
      </c>
      <c r="N38" s="4">
        <f t="shared" si="6"/>
        <v>12.638888888888889</v>
      </c>
    </row>
    <row r="39" spans="3:14" x14ac:dyDescent="0.2">
      <c r="C39" t="str">
        <f t="shared" si="5"/>
        <v>Verkehr, NEP</v>
      </c>
      <c r="D39" s="4">
        <f t="shared" si="6"/>
        <v>2.6388888888888888</v>
      </c>
      <c r="E39" s="4">
        <f t="shared" si="6"/>
        <v>2.9722222222222219</v>
      </c>
      <c r="F39" s="4">
        <f t="shared" si="6"/>
        <v>3.1666666666666665</v>
      </c>
      <c r="G39" s="4">
        <f t="shared" si="6"/>
        <v>3.7222222222222223</v>
      </c>
      <c r="H39" s="4">
        <f t="shared" si="6"/>
        <v>4.583333333333333</v>
      </c>
      <c r="I39" s="4">
        <f t="shared" si="6"/>
        <v>5.4444444444444446</v>
      </c>
      <c r="J39" s="4">
        <f t="shared" si="6"/>
        <v>6.8333333333333339</v>
      </c>
      <c r="K39" s="4">
        <f t="shared" si="6"/>
        <v>8.3333333333333339</v>
      </c>
      <c r="L39" s="4">
        <f t="shared" si="6"/>
        <v>9.6111111111111107</v>
      </c>
      <c r="M39" s="4">
        <f t="shared" si="6"/>
        <v>10.583333333333334</v>
      </c>
      <c r="N39" s="4">
        <f t="shared" si="6"/>
        <v>11.388888888888889</v>
      </c>
    </row>
    <row r="40" spans="3:14" ht="15" x14ac:dyDescent="0.25">
      <c r="C40" s="14" t="str">
        <f t="shared" si="5"/>
        <v>Elektrizität, NEP</v>
      </c>
      <c r="D40" s="74">
        <f t="shared" si="6"/>
        <v>51.416666666666664</v>
      </c>
      <c r="E40" s="74">
        <f t="shared" si="6"/>
        <v>56.30555555555555</v>
      </c>
      <c r="F40" s="74">
        <f t="shared" si="6"/>
        <v>58.777777777777786</v>
      </c>
      <c r="G40" s="74">
        <f t="shared" si="6"/>
        <v>59.166666666666671</v>
      </c>
      <c r="H40" s="74">
        <f t="shared" si="6"/>
        <v>58.472222222222221</v>
      </c>
      <c r="I40" s="74">
        <f t="shared" si="6"/>
        <v>56.916666666666664</v>
      </c>
      <c r="J40" s="74">
        <f t="shared" si="6"/>
        <v>55.722222222222221</v>
      </c>
      <c r="K40" s="74">
        <f t="shared" si="6"/>
        <v>55.027777777777771</v>
      </c>
      <c r="L40" s="74">
        <f t="shared" si="6"/>
        <v>54.472222222222221</v>
      </c>
      <c r="M40" s="74">
        <f t="shared" si="6"/>
        <v>53.777777777777771</v>
      </c>
      <c r="N40" s="74">
        <f t="shared" si="6"/>
        <v>53.027777777777779</v>
      </c>
    </row>
    <row r="41" spans="3:14" x14ac:dyDescent="0.2">
      <c r="C41" s="29" t="str">
        <f t="shared" si="5"/>
        <v>Wasserstoff, Verkehr, NEP</v>
      </c>
      <c r="D41" s="30">
        <f t="shared" si="6"/>
        <v>0</v>
      </c>
      <c r="E41" s="30">
        <f t="shared" si="6"/>
        <v>0</v>
      </c>
      <c r="F41" s="30">
        <f t="shared" si="6"/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30">
        <f t="shared" si="6"/>
        <v>5.5555555555555559E-2</v>
      </c>
      <c r="L41" s="30">
        <f t="shared" si="6"/>
        <v>0.16666666666666666</v>
      </c>
      <c r="M41" s="30">
        <f t="shared" si="6"/>
        <v>0.38888888888888884</v>
      </c>
      <c r="N41" s="30">
        <f t="shared" si="6"/>
        <v>0.63888888888888884</v>
      </c>
    </row>
    <row r="42" spans="3:14" x14ac:dyDescent="0.2"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3:14" x14ac:dyDescent="0.2">
      <c r="C43" t="str">
        <f t="shared" ref="C43:C48" si="7">C20</f>
        <v>Privathaushalte, POM</v>
      </c>
      <c r="D43" s="4">
        <f t="shared" ref="D43:N48" si="8">D20/3.6</f>
        <v>15.722222222222221</v>
      </c>
      <c r="E43" s="4">
        <f t="shared" si="8"/>
        <v>17.638888888888889</v>
      </c>
      <c r="F43" s="4">
        <f t="shared" si="8"/>
        <v>18.611111111111111</v>
      </c>
      <c r="G43" s="4">
        <f t="shared" si="8"/>
        <v>18.083333333333332</v>
      </c>
      <c r="H43" s="4">
        <f t="shared" si="8"/>
        <v>17.694444444444446</v>
      </c>
      <c r="I43" s="4">
        <f t="shared" si="8"/>
        <v>17.083333333333332</v>
      </c>
      <c r="J43" s="4">
        <f t="shared" si="8"/>
        <v>16.333333333333332</v>
      </c>
      <c r="K43" s="4">
        <f t="shared" si="8"/>
        <v>15.75</v>
      </c>
      <c r="L43" s="4">
        <f t="shared" si="8"/>
        <v>15.444444444444445</v>
      </c>
      <c r="M43" s="4">
        <f t="shared" si="8"/>
        <v>15.25</v>
      </c>
      <c r="N43" s="4">
        <f t="shared" si="8"/>
        <v>15.111111111111111</v>
      </c>
    </row>
    <row r="44" spans="3:14" x14ac:dyDescent="0.2">
      <c r="C44" t="str">
        <f t="shared" si="7"/>
        <v>Dienstleistungen, POM</v>
      </c>
      <c r="D44" s="4">
        <f t="shared" si="8"/>
        <v>14.972222222222221</v>
      </c>
      <c r="E44" s="4">
        <f t="shared" si="8"/>
        <v>16.805555555555554</v>
      </c>
      <c r="F44" s="4">
        <f t="shared" si="8"/>
        <v>17.722222222222221</v>
      </c>
      <c r="G44" s="4">
        <f t="shared" si="8"/>
        <v>18.499999999999996</v>
      </c>
      <c r="H44" s="4">
        <f t="shared" si="8"/>
        <v>18.694444444444443</v>
      </c>
      <c r="I44" s="4">
        <f t="shared" si="8"/>
        <v>18.805555555555557</v>
      </c>
      <c r="J44" s="4">
        <f t="shared" si="8"/>
        <v>19.111111111111111</v>
      </c>
      <c r="K44" s="4">
        <f t="shared" si="8"/>
        <v>19.611111111111111</v>
      </c>
      <c r="L44" s="4">
        <f t="shared" si="8"/>
        <v>20.277777777777779</v>
      </c>
      <c r="M44" s="4">
        <f t="shared" si="8"/>
        <v>21.083333333333336</v>
      </c>
      <c r="N44" s="4">
        <f t="shared" si="8"/>
        <v>22.055555555555557</v>
      </c>
    </row>
    <row r="45" spans="3:14" x14ac:dyDescent="0.2">
      <c r="C45" t="str">
        <f t="shared" si="7"/>
        <v>Industrie, POM</v>
      </c>
      <c r="D45" s="4">
        <f t="shared" si="8"/>
        <v>18.083333333333332</v>
      </c>
      <c r="E45" s="4">
        <f t="shared" si="8"/>
        <v>18.888888888888889</v>
      </c>
      <c r="F45" s="4">
        <f t="shared" si="8"/>
        <v>19.277777777777779</v>
      </c>
      <c r="G45" s="4">
        <f t="shared" si="8"/>
        <v>19.5</v>
      </c>
      <c r="H45" s="4">
        <f t="shared" si="8"/>
        <v>18.222222222222221</v>
      </c>
      <c r="I45" s="4">
        <f t="shared" si="8"/>
        <v>17.25</v>
      </c>
      <c r="J45" s="4">
        <f t="shared" si="8"/>
        <v>16.472222222222221</v>
      </c>
      <c r="K45" s="4">
        <f t="shared" si="8"/>
        <v>15.916666666666666</v>
      </c>
      <c r="L45" s="4">
        <f t="shared" si="8"/>
        <v>15.555555555555555</v>
      </c>
      <c r="M45" s="4">
        <f t="shared" si="8"/>
        <v>15.25</v>
      </c>
      <c r="N45" s="4">
        <f t="shared" si="8"/>
        <v>14.916666666666668</v>
      </c>
    </row>
    <row r="46" spans="3:14" x14ac:dyDescent="0.2">
      <c r="C46" t="str">
        <f t="shared" si="7"/>
        <v>Verkehr, POM</v>
      </c>
      <c r="D46" s="4">
        <f t="shared" si="8"/>
        <v>2.6388888888888888</v>
      </c>
      <c r="E46" s="4">
        <f t="shared" si="8"/>
        <v>2.9722222222222219</v>
      </c>
      <c r="F46" s="4">
        <f t="shared" si="8"/>
        <v>3.1666666666666665</v>
      </c>
      <c r="G46" s="4">
        <f t="shared" si="8"/>
        <v>3.4722222222222223</v>
      </c>
      <c r="H46" s="4">
        <f t="shared" si="8"/>
        <v>4</v>
      </c>
      <c r="I46" s="4">
        <f t="shared" si="8"/>
        <v>4.6388888888888884</v>
      </c>
      <c r="J46" s="4">
        <f t="shared" si="8"/>
        <v>5.6111111111111107</v>
      </c>
      <c r="K46" s="4">
        <f t="shared" si="8"/>
        <v>6.6111111111111107</v>
      </c>
      <c r="L46" s="4">
        <f t="shared" si="8"/>
        <v>7.5555555555555554</v>
      </c>
      <c r="M46" s="4">
        <f t="shared" si="8"/>
        <v>8.2777777777777786</v>
      </c>
      <c r="N46" s="4">
        <f t="shared" si="8"/>
        <v>8.75</v>
      </c>
    </row>
    <row r="47" spans="3:14" ht="15" x14ac:dyDescent="0.25">
      <c r="C47" s="14" t="str">
        <f t="shared" si="7"/>
        <v>Elektrizität, POM</v>
      </c>
      <c r="D47" s="74">
        <f t="shared" si="8"/>
        <v>51.416666666666664</v>
      </c>
      <c r="E47" s="74">
        <f t="shared" si="8"/>
        <v>56.30555555555555</v>
      </c>
      <c r="F47" s="74">
        <f t="shared" si="8"/>
        <v>58.777777777777786</v>
      </c>
      <c r="G47" s="74">
        <f t="shared" si="8"/>
        <v>59.55555555555555</v>
      </c>
      <c r="H47" s="74">
        <f t="shared" si="8"/>
        <v>58.611111111111107</v>
      </c>
      <c r="I47" s="74">
        <f t="shared" si="8"/>
        <v>57.777777777777771</v>
      </c>
      <c r="J47" s="74">
        <f t="shared" si="8"/>
        <v>57.527777777777764</v>
      </c>
      <c r="K47" s="74">
        <f t="shared" si="8"/>
        <v>57.888888888888886</v>
      </c>
      <c r="L47" s="74">
        <f t="shared" si="8"/>
        <v>58.833333333333329</v>
      </c>
      <c r="M47" s="74">
        <f t="shared" si="8"/>
        <v>59.861111111111114</v>
      </c>
      <c r="N47" s="74">
        <f t="shared" si="8"/>
        <v>60.833333333333329</v>
      </c>
    </row>
    <row r="48" spans="3:14" x14ac:dyDescent="0.2">
      <c r="C48" s="29" t="str">
        <f t="shared" si="7"/>
        <v>Wasserstoff, Verkehr, POM</v>
      </c>
      <c r="D48" s="30">
        <f t="shared" si="8"/>
        <v>0</v>
      </c>
      <c r="E48" s="30">
        <f t="shared" si="8"/>
        <v>0</v>
      </c>
      <c r="F48" s="30">
        <f t="shared" si="8"/>
        <v>0</v>
      </c>
      <c r="G48" s="30">
        <f t="shared" si="8"/>
        <v>0</v>
      </c>
      <c r="H48" s="30">
        <f t="shared" si="8"/>
        <v>0</v>
      </c>
      <c r="I48" s="30">
        <f t="shared" si="8"/>
        <v>0</v>
      </c>
      <c r="J48" s="30">
        <f t="shared" si="8"/>
        <v>0</v>
      </c>
      <c r="K48" s="30">
        <f t="shared" si="8"/>
        <v>5.5555555555555559E-2</v>
      </c>
      <c r="L48" s="30">
        <f t="shared" si="8"/>
        <v>0.19444444444444442</v>
      </c>
      <c r="M48" s="30">
        <f t="shared" si="8"/>
        <v>0.41666666666666663</v>
      </c>
      <c r="N48" s="30">
        <f t="shared" si="8"/>
        <v>0.69444444444444442</v>
      </c>
    </row>
    <row r="53" spans="2:14" s="2" customFormat="1" ht="15" x14ac:dyDescent="0.25">
      <c r="C53"/>
    </row>
    <row r="54" spans="2:14" s="2" customFormat="1" ht="34.5" x14ac:dyDescent="0.45">
      <c r="D54" s="73" t="s">
        <v>564</v>
      </c>
    </row>
    <row r="55" spans="2:14" s="2" customFormat="1" ht="15" x14ac:dyDescent="0.25"/>
    <row r="56" spans="2:14" s="2" customFormat="1" ht="15" x14ac:dyDescent="0.25"/>
    <row r="57" spans="2:14" s="2" customFormat="1" ht="15" x14ac:dyDescent="0.25">
      <c r="D57" s="2" t="s">
        <v>565</v>
      </c>
    </row>
    <row r="58" spans="2:14" s="2" customFormat="1" ht="15" x14ac:dyDescent="0.25">
      <c r="B58" s="2" t="s">
        <v>566</v>
      </c>
    </row>
    <row r="59" spans="2:14" s="2" customFormat="1" ht="15" x14ac:dyDescent="0.25">
      <c r="B59" s="13" t="s">
        <v>567</v>
      </c>
      <c r="D59" s="2">
        <v>2000</v>
      </c>
      <c r="E59" s="2">
        <v>2005</v>
      </c>
      <c r="F59" s="2">
        <v>2010</v>
      </c>
      <c r="G59" s="2">
        <v>2015</v>
      </c>
      <c r="H59" s="2">
        <v>2020</v>
      </c>
      <c r="I59" s="2">
        <v>2025</v>
      </c>
      <c r="J59" s="2">
        <v>2030</v>
      </c>
      <c r="K59" s="2">
        <v>2035</v>
      </c>
      <c r="L59" s="2">
        <v>2040</v>
      </c>
      <c r="M59" s="2">
        <v>2045</v>
      </c>
      <c r="N59" s="2">
        <v>2050</v>
      </c>
    </row>
    <row r="60" spans="2:14" x14ac:dyDescent="0.2">
      <c r="C60" t="s">
        <v>568</v>
      </c>
      <c r="D60">
        <v>38.380000000000003</v>
      </c>
      <c r="E60">
        <v>34.340000000000003</v>
      </c>
      <c r="F60">
        <v>35.42</v>
      </c>
      <c r="G60">
        <v>38.76</v>
      </c>
      <c r="H60">
        <v>41.48</v>
      </c>
      <c r="I60">
        <v>41.65</v>
      </c>
      <c r="J60">
        <v>41.77</v>
      </c>
      <c r="K60">
        <v>41.75</v>
      </c>
      <c r="L60">
        <v>41.86</v>
      </c>
      <c r="M60">
        <v>41.6</v>
      </c>
      <c r="N60">
        <v>41.58</v>
      </c>
    </row>
    <row r="61" spans="2:14" x14ac:dyDescent="0.2">
      <c r="C61" t="s">
        <v>569</v>
      </c>
      <c r="D61">
        <v>38.380000000000003</v>
      </c>
      <c r="E61">
        <v>34.340000000000003</v>
      </c>
      <c r="F61">
        <v>35.42</v>
      </c>
      <c r="G61">
        <v>36.950000000000003</v>
      </c>
      <c r="H61">
        <v>36.869999999999997</v>
      </c>
      <c r="I61">
        <v>36.83</v>
      </c>
      <c r="J61">
        <v>36.75</v>
      </c>
      <c r="K61">
        <v>36.54</v>
      </c>
      <c r="L61">
        <v>36.409999999999997</v>
      </c>
      <c r="M61">
        <v>35.85</v>
      </c>
      <c r="N61">
        <v>35.57</v>
      </c>
    </row>
    <row r="62" spans="2:14" x14ac:dyDescent="0.2">
      <c r="C62" t="s">
        <v>570</v>
      </c>
      <c r="D62" t="s">
        <v>3</v>
      </c>
      <c r="E62" t="s">
        <v>3</v>
      </c>
      <c r="F62" t="s">
        <v>3</v>
      </c>
      <c r="G62">
        <v>1.81</v>
      </c>
      <c r="H62">
        <v>4.6100000000000003</v>
      </c>
      <c r="I62">
        <v>4.82</v>
      </c>
      <c r="J62">
        <v>5.01</v>
      </c>
      <c r="K62">
        <v>5.21</v>
      </c>
      <c r="L62">
        <v>5.45</v>
      </c>
      <c r="M62">
        <v>5.75</v>
      </c>
      <c r="N62">
        <v>6.01</v>
      </c>
    </row>
    <row r="63" spans="2:14" x14ac:dyDescent="0.2">
      <c r="C63" t="s">
        <v>571</v>
      </c>
      <c r="D63">
        <v>24.73</v>
      </c>
      <c r="E63">
        <v>21.9</v>
      </c>
      <c r="F63">
        <v>25.13</v>
      </c>
      <c r="G63">
        <v>24.58</v>
      </c>
      <c r="H63">
        <v>21.68</v>
      </c>
      <c r="I63">
        <v>15.98</v>
      </c>
      <c r="J63">
        <v>8.81</v>
      </c>
      <c r="K63" t="s">
        <v>572</v>
      </c>
      <c r="L63" t="s">
        <v>3</v>
      </c>
      <c r="M63" t="s">
        <v>3</v>
      </c>
      <c r="N63" t="s">
        <v>3</v>
      </c>
    </row>
    <row r="64" spans="2:14" x14ac:dyDescent="0.2">
      <c r="C64" t="s">
        <v>573</v>
      </c>
      <c r="D64">
        <v>1.79</v>
      </c>
      <c r="E64">
        <v>2.0699999999999998</v>
      </c>
      <c r="F64">
        <v>2.1800000000000002</v>
      </c>
      <c r="G64">
        <v>2.65</v>
      </c>
      <c r="H64">
        <v>5.57</v>
      </c>
      <c r="I64">
        <v>9.5299999999999994</v>
      </c>
      <c r="J64">
        <v>15.34</v>
      </c>
      <c r="K64">
        <v>29.32</v>
      </c>
      <c r="L64">
        <v>29.22</v>
      </c>
      <c r="M64">
        <v>30.22</v>
      </c>
      <c r="N64">
        <v>30.5</v>
      </c>
    </row>
    <row r="65" spans="3:14" x14ac:dyDescent="0.2">
      <c r="C65" t="s">
        <v>574</v>
      </c>
      <c r="D65">
        <v>1.79</v>
      </c>
      <c r="E65">
        <v>2.0699999999999998</v>
      </c>
      <c r="F65">
        <v>2.1800000000000002</v>
      </c>
      <c r="G65">
        <v>1.76</v>
      </c>
      <c r="H65">
        <v>1.48</v>
      </c>
      <c r="I65">
        <v>0.92</v>
      </c>
      <c r="J65">
        <v>0.57999999999999996</v>
      </c>
      <c r="K65">
        <v>0.32</v>
      </c>
      <c r="L65" t="s">
        <v>572</v>
      </c>
      <c r="M65" t="s">
        <v>3</v>
      </c>
      <c r="N65" t="s">
        <v>3</v>
      </c>
    </row>
    <row r="66" spans="3:14" x14ac:dyDescent="0.2">
      <c r="C66" t="s">
        <v>575</v>
      </c>
      <c r="D66" t="s">
        <v>3</v>
      </c>
      <c r="E66" t="s">
        <v>3</v>
      </c>
      <c r="F66" t="s">
        <v>3</v>
      </c>
      <c r="G66" t="s">
        <v>3</v>
      </c>
      <c r="H66">
        <v>2.59</v>
      </c>
      <c r="I66">
        <v>6.41</v>
      </c>
      <c r="J66">
        <v>12.06</v>
      </c>
      <c r="K66">
        <v>26.08</v>
      </c>
      <c r="L66">
        <v>26.12</v>
      </c>
      <c r="M66">
        <v>27.11</v>
      </c>
      <c r="N66">
        <v>27.39</v>
      </c>
    </row>
    <row r="67" spans="3:14" x14ac:dyDescent="0.2">
      <c r="C67" t="s">
        <v>576</v>
      </c>
      <c r="D67" t="s">
        <v>3</v>
      </c>
      <c r="E67" t="s">
        <v>3</v>
      </c>
      <c r="F67" t="s">
        <v>3</v>
      </c>
      <c r="G67">
        <v>0.89</v>
      </c>
      <c r="H67">
        <v>1.49</v>
      </c>
      <c r="I67">
        <v>2.2000000000000002</v>
      </c>
      <c r="J67">
        <v>2.7</v>
      </c>
      <c r="K67">
        <v>2.92</v>
      </c>
      <c r="L67">
        <v>3.1</v>
      </c>
      <c r="M67">
        <v>3.11</v>
      </c>
      <c r="N67">
        <v>3.11</v>
      </c>
    </row>
    <row r="68" spans="3:14" x14ac:dyDescent="0.2">
      <c r="C68" t="s">
        <v>577</v>
      </c>
      <c r="D68">
        <v>0.81</v>
      </c>
      <c r="E68">
        <v>1.01</v>
      </c>
      <c r="F68">
        <v>1.38</v>
      </c>
      <c r="G68">
        <v>1.83</v>
      </c>
      <c r="H68">
        <v>2.37</v>
      </c>
      <c r="I68">
        <v>3.15</v>
      </c>
      <c r="J68">
        <v>4.28</v>
      </c>
      <c r="K68">
        <v>6.13</v>
      </c>
      <c r="L68">
        <v>7.37</v>
      </c>
      <c r="M68">
        <v>8.9</v>
      </c>
      <c r="N68">
        <v>10.25</v>
      </c>
    </row>
    <row r="69" spans="3:14" x14ac:dyDescent="0.2">
      <c r="C69" t="s">
        <v>578</v>
      </c>
      <c r="D69">
        <v>0.81</v>
      </c>
      <c r="E69">
        <v>1.01</v>
      </c>
      <c r="F69">
        <v>1.38</v>
      </c>
      <c r="G69">
        <v>1.03</v>
      </c>
      <c r="H69">
        <v>0.92</v>
      </c>
      <c r="I69">
        <v>0.7</v>
      </c>
      <c r="J69">
        <v>0.4</v>
      </c>
      <c r="K69">
        <v>0.1</v>
      </c>
      <c r="L69">
        <v>0.01</v>
      </c>
      <c r="M69" t="s">
        <v>3</v>
      </c>
      <c r="N69" t="s">
        <v>3</v>
      </c>
    </row>
    <row r="70" spans="3:14" x14ac:dyDescent="0.2">
      <c r="C70" t="s">
        <v>579</v>
      </c>
      <c r="D70" t="s">
        <v>572</v>
      </c>
      <c r="E70" t="s">
        <v>3</v>
      </c>
      <c r="F70" t="s">
        <v>3</v>
      </c>
      <c r="G70">
        <v>0.8</v>
      </c>
      <c r="H70">
        <v>1.45</v>
      </c>
      <c r="I70">
        <v>2.4500000000000002</v>
      </c>
      <c r="J70">
        <v>3.88</v>
      </c>
      <c r="K70">
        <v>6.03</v>
      </c>
      <c r="L70">
        <v>7.36</v>
      </c>
      <c r="M70">
        <v>8.9</v>
      </c>
      <c r="N70">
        <v>10.25</v>
      </c>
    </row>
    <row r="71" spans="3:14" x14ac:dyDescent="0.2">
      <c r="C71" t="s">
        <v>580</v>
      </c>
      <c r="D71">
        <v>0.01</v>
      </c>
      <c r="E71">
        <v>0.02</v>
      </c>
      <c r="F71">
        <v>0.08</v>
      </c>
      <c r="G71">
        <v>0.21</v>
      </c>
      <c r="H71">
        <v>0.34</v>
      </c>
      <c r="I71">
        <v>0.55000000000000004</v>
      </c>
      <c r="J71">
        <v>0.96</v>
      </c>
      <c r="K71">
        <v>2.52</v>
      </c>
      <c r="L71">
        <v>3.48</v>
      </c>
      <c r="M71">
        <v>4.7300000000000004</v>
      </c>
      <c r="N71">
        <v>5.92</v>
      </c>
    </row>
    <row r="72" spans="3:14" x14ac:dyDescent="0.2">
      <c r="C72" t="s">
        <v>581</v>
      </c>
      <c r="D72">
        <v>0</v>
      </c>
      <c r="E72">
        <v>0.01</v>
      </c>
      <c r="F72">
        <v>0.04</v>
      </c>
      <c r="G72">
        <v>0.09</v>
      </c>
      <c r="H72">
        <v>0.14000000000000001</v>
      </c>
      <c r="I72">
        <v>0.25</v>
      </c>
      <c r="J72">
        <v>0.56999999999999995</v>
      </c>
      <c r="K72">
        <v>0.77</v>
      </c>
      <c r="L72">
        <v>1.02</v>
      </c>
      <c r="M72">
        <v>1.25</v>
      </c>
      <c r="N72">
        <v>1.41</v>
      </c>
    </row>
    <row r="73" spans="3:14" x14ac:dyDescent="0.2">
      <c r="C73" t="s">
        <v>582</v>
      </c>
      <c r="D73" t="s">
        <v>572</v>
      </c>
      <c r="E73" t="s">
        <v>572</v>
      </c>
      <c r="F73" t="s">
        <v>3</v>
      </c>
      <c r="G73" t="s">
        <v>3</v>
      </c>
      <c r="H73" t="s">
        <v>3</v>
      </c>
      <c r="I73" t="s">
        <v>3</v>
      </c>
      <c r="J73" t="s">
        <v>3</v>
      </c>
      <c r="K73" t="s">
        <v>3</v>
      </c>
      <c r="L73" t="s">
        <v>3</v>
      </c>
      <c r="M73" t="s">
        <v>3</v>
      </c>
      <c r="N73" t="s">
        <v>3</v>
      </c>
    </row>
    <row r="74" spans="3:14" x14ac:dyDescent="0.2">
      <c r="C74" t="s">
        <v>47</v>
      </c>
      <c r="D74" t="s">
        <v>572</v>
      </c>
      <c r="E74" t="s">
        <v>572</v>
      </c>
      <c r="F74" t="s">
        <v>3</v>
      </c>
      <c r="G74">
        <v>0.03</v>
      </c>
      <c r="H74">
        <v>0.1</v>
      </c>
      <c r="I74">
        <v>0.2</v>
      </c>
      <c r="J74">
        <v>0.33</v>
      </c>
      <c r="K74">
        <v>0.39</v>
      </c>
      <c r="L74">
        <v>0.39</v>
      </c>
      <c r="M74">
        <v>0.42</v>
      </c>
      <c r="N74">
        <v>0.42</v>
      </c>
    </row>
    <row r="75" spans="3:14" x14ac:dyDescent="0.2">
      <c r="C75" t="s">
        <v>583</v>
      </c>
      <c r="D75">
        <v>0.01</v>
      </c>
      <c r="E75">
        <v>0.03</v>
      </c>
      <c r="F75">
        <v>0.14000000000000001</v>
      </c>
      <c r="G75">
        <v>0.3</v>
      </c>
      <c r="H75">
        <v>0.42</v>
      </c>
      <c r="I75">
        <v>0.56999999999999995</v>
      </c>
      <c r="J75">
        <v>0.69</v>
      </c>
      <c r="K75">
        <v>0.65</v>
      </c>
      <c r="L75">
        <v>0.67</v>
      </c>
      <c r="M75">
        <v>0.68</v>
      </c>
      <c r="N75">
        <v>0.68</v>
      </c>
    </row>
    <row r="76" spans="3:14" x14ac:dyDescent="0.2">
      <c r="C76" t="s">
        <v>584</v>
      </c>
      <c r="D76">
        <v>0.01</v>
      </c>
      <c r="E76">
        <v>0.02</v>
      </c>
      <c r="F76">
        <v>0.08</v>
      </c>
      <c r="G76">
        <v>0.16</v>
      </c>
      <c r="H76">
        <v>0.26</v>
      </c>
      <c r="I76">
        <v>0.38</v>
      </c>
      <c r="J76">
        <v>0.48</v>
      </c>
      <c r="K76">
        <v>0.51</v>
      </c>
      <c r="L76">
        <v>0.52</v>
      </c>
      <c r="M76">
        <v>0.53</v>
      </c>
      <c r="N76">
        <v>0.53</v>
      </c>
    </row>
    <row r="77" spans="3:14" x14ac:dyDescent="0.2">
      <c r="C77" t="s">
        <v>585</v>
      </c>
      <c r="D77">
        <v>0.09</v>
      </c>
      <c r="E77">
        <v>0.11</v>
      </c>
      <c r="F77">
        <v>0.12</v>
      </c>
      <c r="G77">
        <v>0.1</v>
      </c>
      <c r="H77">
        <v>0.16</v>
      </c>
      <c r="I77">
        <v>0.22</v>
      </c>
      <c r="J77">
        <v>0.27</v>
      </c>
      <c r="K77">
        <v>0.28999999999999998</v>
      </c>
      <c r="L77">
        <v>0.28999999999999998</v>
      </c>
      <c r="M77">
        <v>0.3</v>
      </c>
      <c r="N77">
        <v>0.3</v>
      </c>
    </row>
    <row r="78" spans="3:14" x14ac:dyDescent="0.2">
      <c r="C78" t="s">
        <v>586</v>
      </c>
      <c r="D78">
        <v>0.63</v>
      </c>
      <c r="E78">
        <v>0.8</v>
      </c>
      <c r="F78">
        <v>0.92</v>
      </c>
      <c r="G78">
        <v>0.94</v>
      </c>
      <c r="H78">
        <v>0.94</v>
      </c>
      <c r="I78">
        <v>0.97</v>
      </c>
      <c r="J78">
        <v>0.98</v>
      </c>
      <c r="K78">
        <v>0.98</v>
      </c>
      <c r="L78">
        <v>0.99</v>
      </c>
      <c r="M78">
        <v>0.99</v>
      </c>
      <c r="N78">
        <v>0.99</v>
      </c>
    </row>
    <row r="79" spans="3:14" x14ac:dyDescent="0.2">
      <c r="C79" s="14" t="s">
        <v>587</v>
      </c>
      <c r="D79" s="14">
        <v>0.04</v>
      </c>
      <c r="E79" s="14">
        <v>0.02</v>
      </c>
      <c r="F79" s="14">
        <v>0</v>
      </c>
      <c r="G79" s="14">
        <v>0.01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</row>
    <row r="80" spans="3:14" x14ac:dyDescent="0.2">
      <c r="C80" t="s">
        <v>588</v>
      </c>
      <c r="D80" s="20">
        <f t="shared" ref="D80:J80" si="9">D60+D63+D64+D68</f>
        <v>65.710000000000008</v>
      </c>
      <c r="E80" s="20">
        <f t="shared" si="9"/>
        <v>59.32</v>
      </c>
      <c r="F80" s="20">
        <f t="shared" si="9"/>
        <v>64.11</v>
      </c>
      <c r="G80" s="20">
        <f t="shared" si="9"/>
        <v>67.819999999999993</v>
      </c>
      <c r="H80" s="20">
        <f t="shared" si="9"/>
        <v>71.099999999999994</v>
      </c>
      <c r="I80" s="20">
        <f t="shared" si="9"/>
        <v>70.31</v>
      </c>
      <c r="J80" s="20">
        <f t="shared" si="9"/>
        <v>70.2</v>
      </c>
      <c r="K80" s="20">
        <f>K60+K64+K68</f>
        <v>77.199999999999989</v>
      </c>
      <c r="L80" s="20">
        <f>L60+L64+L68</f>
        <v>78.45</v>
      </c>
      <c r="M80" s="20">
        <f>M60+M64+M68</f>
        <v>80.72</v>
      </c>
      <c r="N80" s="20">
        <f>N60+N64+N68</f>
        <v>82.33</v>
      </c>
    </row>
    <row r="81" spans="2:14" x14ac:dyDescent="0.2">
      <c r="C81" t="s">
        <v>589</v>
      </c>
      <c r="D81">
        <v>-2.2200000000000002</v>
      </c>
      <c r="E81">
        <v>-2.2200000000000002</v>
      </c>
      <c r="F81">
        <v>-2.56</v>
      </c>
      <c r="G81">
        <v>-4.34</v>
      </c>
      <c r="H81">
        <v>-7.54</v>
      </c>
      <c r="I81">
        <v>-7.54</v>
      </c>
      <c r="J81">
        <v>-7.54</v>
      </c>
      <c r="K81">
        <v>-7.54</v>
      </c>
      <c r="L81">
        <v>-7.54</v>
      </c>
      <c r="M81">
        <v>-7.54</v>
      </c>
      <c r="N81">
        <v>-7.54</v>
      </c>
    </row>
    <row r="82" spans="2:14" x14ac:dyDescent="0.2">
      <c r="C82" s="14" t="s">
        <v>590</v>
      </c>
      <c r="D82" s="32">
        <f>D80+D81</f>
        <v>63.490000000000009</v>
      </c>
      <c r="E82" s="32">
        <f t="shared" ref="E82:N82" si="10">E80+E81</f>
        <v>57.1</v>
      </c>
      <c r="F82" s="32">
        <f t="shared" si="10"/>
        <v>61.55</v>
      </c>
      <c r="G82" s="32">
        <f t="shared" si="10"/>
        <v>63.47999999999999</v>
      </c>
      <c r="H82" s="32">
        <f t="shared" si="10"/>
        <v>63.559999999999995</v>
      </c>
      <c r="I82" s="32">
        <f t="shared" si="10"/>
        <v>62.77</v>
      </c>
      <c r="J82" s="32">
        <f t="shared" si="10"/>
        <v>62.660000000000004</v>
      </c>
      <c r="K82" s="32">
        <f t="shared" si="10"/>
        <v>69.659999999999982</v>
      </c>
      <c r="L82" s="32">
        <f t="shared" si="10"/>
        <v>70.91</v>
      </c>
      <c r="M82" s="32">
        <f t="shared" si="10"/>
        <v>73.179999999999993</v>
      </c>
      <c r="N82" s="32">
        <f t="shared" si="10"/>
        <v>74.789999999999992</v>
      </c>
    </row>
    <row r="83" spans="2:14" x14ac:dyDescent="0.2">
      <c r="C83" t="s">
        <v>591</v>
      </c>
      <c r="D83">
        <v>18.72</v>
      </c>
      <c r="E83">
        <v>17.98</v>
      </c>
      <c r="F83">
        <v>17.239999999999998</v>
      </c>
      <c r="G83">
        <v>17.239999999999998</v>
      </c>
      <c r="H83">
        <v>10.06</v>
      </c>
      <c r="I83">
        <v>8.42</v>
      </c>
      <c r="J83">
        <v>8.42</v>
      </c>
      <c r="K83">
        <v>2.61</v>
      </c>
      <c r="L83">
        <v>1.3</v>
      </c>
      <c r="M83" t="s">
        <v>3</v>
      </c>
      <c r="N83" t="s">
        <v>3</v>
      </c>
    </row>
    <row r="84" spans="2:14" x14ac:dyDescent="0.2">
      <c r="C84" t="s">
        <v>592</v>
      </c>
      <c r="D84">
        <v>18.72</v>
      </c>
      <c r="E84">
        <v>17.98</v>
      </c>
      <c r="F84">
        <v>17.239999999999998</v>
      </c>
      <c r="G84">
        <v>17.239999999999998</v>
      </c>
      <c r="H84">
        <v>10.06</v>
      </c>
      <c r="I84">
        <v>8.42</v>
      </c>
      <c r="J84">
        <v>8.42</v>
      </c>
      <c r="K84">
        <v>2.61</v>
      </c>
      <c r="L84">
        <v>1.3</v>
      </c>
      <c r="M84" t="s">
        <v>572</v>
      </c>
      <c r="N84" t="s">
        <v>3</v>
      </c>
    </row>
    <row r="85" spans="2:14" x14ac:dyDescent="0.2">
      <c r="C85" t="s">
        <v>593</v>
      </c>
      <c r="D85" t="s">
        <v>572</v>
      </c>
      <c r="E85" t="s">
        <v>3</v>
      </c>
      <c r="F85" t="s">
        <v>3</v>
      </c>
      <c r="G85" t="s">
        <v>3</v>
      </c>
      <c r="H85" t="s">
        <v>3</v>
      </c>
      <c r="I85" t="s">
        <v>3</v>
      </c>
      <c r="J85" t="s">
        <v>3</v>
      </c>
      <c r="K85" t="s">
        <v>572</v>
      </c>
      <c r="L85" t="s">
        <v>3</v>
      </c>
      <c r="M85" t="s">
        <v>3</v>
      </c>
      <c r="N85" t="s">
        <v>3</v>
      </c>
    </row>
    <row r="86" spans="2:14" x14ac:dyDescent="0.2">
      <c r="C86" t="s">
        <v>594</v>
      </c>
      <c r="D86">
        <v>26.07</v>
      </c>
      <c r="E86">
        <v>13.75</v>
      </c>
      <c r="F86">
        <v>15.19</v>
      </c>
      <c r="G86">
        <v>15.39</v>
      </c>
      <c r="H86">
        <v>6.65</v>
      </c>
      <c r="I86">
        <v>3.36</v>
      </c>
      <c r="J86">
        <v>2.2599999999999998</v>
      </c>
      <c r="K86">
        <v>2.2599999999999998</v>
      </c>
      <c r="L86">
        <v>0.66</v>
      </c>
      <c r="M86">
        <v>0</v>
      </c>
      <c r="N86" t="s">
        <v>3</v>
      </c>
    </row>
    <row r="87" spans="2:14" x14ac:dyDescent="0.2">
      <c r="C87" t="s">
        <v>595</v>
      </c>
      <c r="D87">
        <v>2.83</v>
      </c>
      <c r="E87">
        <v>2.2599999999999998</v>
      </c>
      <c r="F87">
        <v>2.2599999999999998</v>
      </c>
      <c r="G87">
        <v>2.2599999999999998</v>
      </c>
      <c r="H87">
        <v>2.2599999999999998</v>
      </c>
      <c r="I87">
        <v>2.2599999999999998</v>
      </c>
      <c r="J87">
        <v>2.2599999999999998</v>
      </c>
      <c r="K87">
        <v>2.2599999999999998</v>
      </c>
      <c r="L87">
        <v>0.66</v>
      </c>
      <c r="M87" t="s">
        <v>572</v>
      </c>
      <c r="N87" t="s">
        <v>3</v>
      </c>
    </row>
    <row r="88" spans="2:14" x14ac:dyDescent="0.2">
      <c r="C88" t="s">
        <v>596</v>
      </c>
      <c r="D88">
        <v>23.24</v>
      </c>
      <c r="E88">
        <v>11.49</v>
      </c>
      <c r="F88">
        <v>12.93</v>
      </c>
      <c r="G88">
        <v>13.13</v>
      </c>
      <c r="H88">
        <v>4.3899999999999997</v>
      </c>
      <c r="I88">
        <v>1.1000000000000001</v>
      </c>
      <c r="J88">
        <v>0</v>
      </c>
      <c r="K88" t="s">
        <v>3</v>
      </c>
      <c r="L88">
        <v>0</v>
      </c>
      <c r="M88">
        <v>0</v>
      </c>
      <c r="N88" t="s">
        <v>3</v>
      </c>
    </row>
    <row r="89" spans="2:14" x14ac:dyDescent="0.2">
      <c r="C89" s="14" t="s">
        <v>597</v>
      </c>
      <c r="D89" s="32">
        <f>D83-D86</f>
        <v>-7.3500000000000014</v>
      </c>
      <c r="E89" s="32">
        <f t="shared" ref="E89:L89" si="11">E83-E86</f>
        <v>4.2300000000000004</v>
      </c>
      <c r="F89" s="32">
        <f t="shared" si="11"/>
        <v>2.0499999999999989</v>
      </c>
      <c r="G89" s="32">
        <f t="shared" si="11"/>
        <v>1.8499999999999979</v>
      </c>
      <c r="H89" s="32">
        <f t="shared" si="11"/>
        <v>3.41</v>
      </c>
      <c r="I89" s="32">
        <f t="shared" si="11"/>
        <v>5.0600000000000005</v>
      </c>
      <c r="J89" s="32">
        <f t="shared" si="11"/>
        <v>6.16</v>
      </c>
      <c r="K89" s="32">
        <f t="shared" si="11"/>
        <v>0.35000000000000009</v>
      </c>
      <c r="L89" s="32">
        <f t="shared" si="11"/>
        <v>0.64</v>
      </c>
      <c r="M89" s="32">
        <v>0</v>
      </c>
      <c r="N89" s="32">
        <v>0</v>
      </c>
    </row>
    <row r="90" spans="2:14" x14ac:dyDescent="0.2">
      <c r="C90" t="s">
        <v>598</v>
      </c>
      <c r="D90" s="20">
        <f>D82+D89</f>
        <v>56.140000000000008</v>
      </c>
      <c r="E90" s="20">
        <f t="shared" ref="E90:N90" si="12">E82+E89</f>
        <v>61.33</v>
      </c>
      <c r="F90" s="20">
        <f t="shared" si="12"/>
        <v>63.599999999999994</v>
      </c>
      <c r="G90" s="20">
        <f t="shared" si="12"/>
        <v>65.329999999999984</v>
      </c>
      <c r="H90" s="20">
        <f t="shared" si="12"/>
        <v>66.97</v>
      </c>
      <c r="I90" s="20">
        <f t="shared" si="12"/>
        <v>67.83</v>
      </c>
      <c r="J90" s="20">
        <f t="shared" si="12"/>
        <v>68.820000000000007</v>
      </c>
      <c r="K90" s="20">
        <f t="shared" si="12"/>
        <v>70.009999999999977</v>
      </c>
      <c r="L90" s="20">
        <f t="shared" si="12"/>
        <v>71.55</v>
      </c>
      <c r="M90" s="20">
        <f t="shared" si="12"/>
        <v>73.179999999999993</v>
      </c>
      <c r="N90" s="20">
        <f t="shared" si="12"/>
        <v>74.789999999999992</v>
      </c>
    </row>
    <row r="91" spans="2:14" x14ac:dyDescent="0.2"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 x14ac:dyDescent="0.2">
      <c r="C92" t="s">
        <v>599</v>
      </c>
      <c r="D92">
        <v>61.18</v>
      </c>
      <c r="E92">
        <v>65.81</v>
      </c>
      <c r="F92">
        <v>68.41</v>
      </c>
      <c r="G92">
        <v>71.930000000000007</v>
      </c>
      <c r="H92">
        <v>76.77</v>
      </c>
      <c r="I92">
        <v>77.64</v>
      </c>
      <c r="J92">
        <v>78.61</v>
      </c>
      <c r="K92">
        <v>79.81</v>
      </c>
      <c r="L92">
        <v>79.75</v>
      </c>
      <c r="M92">
        <v>80.709999999999994</v>
      </c>
      <c r="N92">
        <v>82.34</v>
      </c>
    </row>
    <row r="95" spans="2:14" ht="15" x14ac:dyDescent="0.25">
      <c r="D95" s="2" t="s">
        <v>565</v>
      </c>
    </row>
    <row r="96" spans="2:14" s="2" customFormat="1" ht="15" x14ac:dyDescent="0.25">
      <c r="B96" s="2" t="s">
        <v>600</v>
      </c>
    </row>
    <row r="97" spans="2:14" s="2" customFormat="1" ht="15" x14ac:dyDescent="0.25">
      <c r="B97" s="13" t="s">
        <v>601</v>
      </c>
      <c r="D97" s="2">
        <v>2000</v>
      </c>
      <c r="E97" s="2">
        <v>2005</v>
      </c>
      <c r="F97" s="2">
        <v>2010</v>
      </c>
      <c r="G97" s="2">
        <v>2015</v>
      </c>
      <c r="H97" s="2">
        <v>2020</v>
      </c>
      <c r="I97" s="2">
        <v>2025</v>
      </c>
      <c r="J97" s="2">
        <v>2030</v>
      </c>
      <c r="K97" s="2">
        <v>2035</v>
      </c>
      <c r="L97" s="2">
        <v>2040</v>
      </c>
      <c r="M97" s="2">
        <v>2045</v>
      </c>
      <c r="N97" s="2">
        <v>2050</v>
      </c>
    </row>
    <row r="98" spans="2:14" x14ac:dyDescent="0.2">
      <c r="C98" t="s">
        <v>568</v>
      </c>
      <c r="D98">
        <v>17.71</v>
      </c>
      <c r="E98">
        <v>15.56</v>
      </c>
      <c r="F98">
        <v>14.16</v>
      </c>
      <c r="G98">
        <v>16.989999999999998</v>
      </c>
      <c r="H98">
        <v>18.8</v>
      </c>
      <c r="I98">
        <v>19.04</v>
      </c>
      <c r="J98">
        <v>19.25</v>
      </c>
      <c r="K98">
        <v>19.41</v>
      </c>
      <c r="L98">
        <v>19.62</v>
      </c>
      <c r="M98">
        <v>19.670000000000002</v>
      </c>
      <c r="N98">
        <v>19.87</v>
      </c>
    </row>
    <row r="99" spans="2:14" x14ac:dyDescent="0.2">
      <c r="C99" t="s">
        <v>602</v>
      </c>
      <c r="D99">
        <v>17.71</v>
      </c>
      <c r="E99">
        <v>15.56</v>
      </c>
      <c r="F99">
        <v>14.16</v>
      </c>
      <c r="G99">
        <v>15.95</v>
      </c>
      <c r="H99">
        <v>16.09</v>
      </c>
      <c r="I99">
        <v>16.239999999999998</v>
      </c>
      <c r="J99">
        <v>16.39</v>
      </c>
      <c r="K99">
        <v>16.47</v>
      </c>
      <c r="L99">
        <v>16.59</v>
      </c>
      <c r="M99">
        <v>16.53</v>
      </c>
      <c r="N99">
        <v>16.63</v>
      </c>
    </row>
    <row r="100" spans="2:14" x14ac:dyDescent="0.2">
      <c r="C100" t="s">
        <v>603</v>
      </c>
      <c r="D100" t="s">
        <v>572</v>
      </c>
      <c r="E100" t="s">
        <v>3</v>
      </c>
      <c r="F100" t="s">
        <v>3</v>
      </c>
      <c r="G100">
        <v>1.04</v>
      </c>
      <c r="H100">
        <v>2.72</v>
      </c>
      <c r="I100">
        <v>2.79</v>
      </c>
      <c r="J100">
        <v>2.86</v>
      </c>
      <c r="K100">
        <v>2.94</v>
      </c>
      <c r="L100">
        <v>3.02</v>
      </c>
      <c r="M100">
        <v>3.14</v>
      </c>
      <c r="N100">
        <v>3.24</v>
      </c>
    </row>
    <row r="101" spans="2:14" x14ac:dyDescent="0.2">
      <c r="C101" t="s">
        <v>571</v>
      </c>
      <c r="D101">
        <v>13.72</v>
      </c>
      <c r="E101">
        <v>13.94</v>
      </c>
      <c r="F101">
        <v>14.17</v>
      </c>
      <c r="G101">
        <v>13.5</v>
      </c>
      <c r="H101">
        <v>11.91</v>
      </c>
      <c r="I101">
        <v>8.7799999999999994</v>
      </c>
      <c r="J101">
        <v>4.84</v>
      </c>
      <c r="K101" t="s">
        <v>3</v>
      </c>
      <c r="L101" t="s">
        <v>3</v>
      </c>
      <c r="M101" t="s">
        <v>3</v>
      </c>
      <c r="N101" t="s">
        <v>3</v>
      </c>
    </row>
    <row r="102" spans="2:14" x14ac:dyDescent="0.2">
      <c r="C102" t="s">
        <v>604</v>
      </c>
      <c r="D102">
        <v>1.1100000000000001</v>
      </c>
      <c r="E102">
        <v>1.25</v>
      </c>
      <c r="F102">
        <v>1.3</v>
      </c>
      <c r="G102">
        <v>1.6</v>
      </c>
      <c r="H102">
        <v>4.41</v>
      </c>
      <c r="I102">
        <v>8.35</v>
      </c>
      <c r="J102">
        <v>12.16</v>
      </c>
      <c r="K102">
        <v>20.149999999999999</v>
      </c>
      <c r="L102">
        <v>20.399999999999999</v>
      </c>
      <c r="M102">
        <v>21.17</v>
      </c>
      <c r="N102">
        <v>21.54</v>
      </c>
    </row>
    <row r="103" spans="2:14" x14ac:dyDescent="0.2">
      <c r="C103" t="s">
        <v>605</v>
      </c>
      <c r="D103">
        <v>1.1100000000000001</v>
      </c>
      <c r="E103">
        <v>1.25</v>
      </c>
      <c r="F103">
        <v>1.3</v>
      </c>
      <c r="G103">
        <v>1.05</v>
      </c>
      <c r="H103">
        <v>0.86</v>
      </c>
      <c r="I103">
        <v>0.53</v>
      </c>
      <c r="J103">
        <v>0.34</v>
      </c>
      <c r="K103">
        <v>0.18</v>
      </c>
      <c r="L103" t="s">
        <v>3</v>
      </c>
      <c r="M103" t="s">
        <v>3</v>
      </c>
      <c r="N103" t="s">
        <v>3</v>
      </c>
    </row>
    <row r="104" spans="2:14" x14ac:dyDescent="0.2">
      <c r="C104" t="s">
        <v>606</v>
      </c>
      <c r="D104" t="s">
        <v>3</v>
      </c>
      <c r="E104" t="s">
        <v>3</v>
      </c>
      <c r="F104" t="s">
        <v>3</v>
      </c>
      <c r="G104" t="s">
        <v>3</v>
      </c>
      <c r="H104">
        <v>2.59</v>
      </c>
      <c r="I104">
        <v>6.41</v>
      </c>
      <c r="J104">
        <v>10.11</v>
      </c>
      <c r="K104">
        <v>18.14</v>
      </c>
      <c r="L104">
        <v>18.45</v>
      </c>
      <c r="M104">
        <v>19.22</v>
      </c>
      <c r="N104">
        <v>19.59</v>
      </c>
    </row>
    <row r="105" spans="2:14" x14ac:dyDescent="0.2">
      <c r="C105" t="s">
        <v>607</v>
      </c>
      <c r="D105" t="s">
        <v>3</v>
      </c>
      <c r="E105" t="s">
        <v>3</v>
      </c>
      <c r="F105" t="s">
        <v>3</v>
      </c>
      <c r="G105">
        <v>0.55000000000000004</v>
      </c>
      <c r="H105">
        <v>0.95</v>
      </c>
      <c r="I105">
        <v>1.4</v>
      </c>
      <c r="J105">
        <v>1.71</v>
      </c>
      <c r="K105">
        <v>1.84</v>
      </c>
      <c r="L105">
        <v>1.95</v>
      </c>
      <c r="M105">
        <v>1.95</v>
      </c>
      <c r="N105">
        <v>1.95</v>
      </c>
    </row>
    <row r="106" spans="2:14" x14ac:dyDescent="0.2">
      <c r="C106" t="s">
        <v>608</v>
      </c>
      <c r="D106">
        <v>0.45</v>
      </c>
      <c r="E106">
        <v>0.55000000000000004</v>
      </c>
      <c r="F106">
        <v>0.76</v>
      </c>
      <c r="G106">
        <v>1.01</v>
      </c>
      <c r="H106">
        <v>1.29</v>
      </c>
      <c r="I106">
        <v>1.69</v>
      </c>
      <c r="J106">
        <v>2.23</v>
      </c>
      <c r="K106">
        <v>2.81</v>
      </c>
      <c r="L106">
        <v>3.24</v>
      </c>
      <c r="M106">
        <v>3.74</v>
      </c>
      <c r="N106">
        <v>4.16</v>
      </c>
    </row>
    <row r="107" spans="2:14" x14ac:dyDescent="0.2">
      <c r="C107" t="s">
        <v>609</v>
      </c>
      <c r="D107">
        <v>0.45</v>
      </c>
      <c r="E107">
        <v>0.55000000000000004</v>
      </c>
      <c r="F107">
        <v>0.76</v>
      </c>
      <c r="G107">
        <v>0.56000000000000005</v>
      </c>
      <c r="H107">
        <v>0.5</v>
      </c>
      <c r="I107">
        <v>0.38</v>
      </c>
      <c r="J107">
        <v>0.21</v>
      </c>
      <c r="K107">
        <v>0.05</v>
      </c>
      <c r="L107">
        <v>0</v>
      </c>
      <c r="M107" t="s">
        <v>3</v>
      </c>
      <c r="N107" t="s">
        <v>3</v>
      </c>
    </row>
    <row r="108" spans="2:14" x14ac:dyDescent="0.2">
      <c r="C108" t="s">
        <v>610</v>
      </c>
      <c r="D108" t="s">
        <v>3</v>
      </c>
      <c r="E108" t="s">
        <v>3</v>
      </c>
      <c r="F108" t="s">
        <v>3</v>
      </c>
      <c r="G108">
        <v>0.45</v>
      </c>
      <c r="H108">
        <v>0.79</v>
      </c>
      <c r="I108">
        <v>1.31</v>
      </c>
      <c r="J108">
        <v>2.02</v>
      </c>
      <c r="K108">
        <v>2.75</v>
      </c>
      <c r="L108">
        <v>3.24</v>
      </c>
      <c r="M108">
        <v>3.74</v>
      </c>
      <c r="N108">
        <v>4.16</v>
      </c>
    </row>
    <row r="109" spans="2:14" x14ac:dyDescent="0.2">
      <c r="C109" t="s">
        <v>580</v>
      </c>
      <c r="D109">
        <v>0</v>
      </c>
      <c r="E109">
        <v>0.01</v>
      </c>
      <c r="F109">
        <v>0.02</v>
      </c>
      <c r="G109">
        <v>0.06</v>
      </c>
      <c r="H109">
        <v>0.09</v>
      </c>
      <c r="I109">
        <v>0.15</v>
      </c>
      <c r="J109">
        <v>0.26</v>
      </c>
      <c r="K109">
        <v>0.68</v>
      </c>
      <c r="L109">
        <v>0.94</v>
      </c>
      <c r="M109">
        <v>1.28</v>
      </c>
      <c r="N109">
        <v>1.6</v>
      </c>
    </row>
    <row r="110" spans="2:14" x14ac:dyDescent="0.2">
      <c r="C110" t="s">
        <v>581</v>
      </c>
      <c r="D110">
        <v>0</v>
      </c>
      <c r="E110">
        <v>0.01</v>
      </c>
      <c r="F110">
        <v>0.02</v>
      </c>
      <c r="G110">
        <v>0.05</v>
      </c>
      <c r="H110">
        <v>0.09</v>
      </c>
      <c r="I110">
        <v>0.15</v>
      </c>
      <c r="J110">
        <v>0.34</v>
      </c>
      <c r="K110">
        <v>0.46</v>
      </c>
      <c r="L110">
        <v>0.61</v>
      </c>
      <c r="M110">
        <v>0.75</v>
      </c>
      <c r="N110">
        <v>0.85</v>
      </c>
    </row>
    <row r="111" spans="2:14" x14ac:dyDescent="0.2">
      <c r="C111" t="s">
        <v>582</v>
      </c>
      <c r="D111" t="s">
        <v>3</v>
      </c>
      <c r="E111" t="s">
        <v>3</v>
      </c>
      <c r="F111" t="s">
        <v>3</v>
      </c>
      <c r="G111" t="s">
        <v>3</v>
      </c>
      <c r="H111" t="s">
        <v>3</v>
      </c>
      <c r="I111" t="s">
        <v>3</v>
      </c>
      <c r="J111" t="s">
        <v>3</v>
      </c>
      <c r="K111" t="s">
        <v>3</v>
      </c>
      <c r="L111" t="s">
        <v>3</v>
      </c>
      <c r="M111" t="s">
        <v>3</v>
      </c>
      <c r="N111" t="s">
        <v>3</v>
      </c>
    </row>
    <row r="112" spans="2:14" x14ac:dyDescent="0.2">
      <c r="C112" t="s">
        <v>47</v>
      </c>
      <c r="D112" t="s">
        <v>3</v>
      </c>
      <c r="E112" t="s">
        <v>3</v>
      </c>
      <c r="F112" t="s">
        <v>3</v>
      </c>
      <c r="G112">
        <v>0.02</v>
      </c>
      <c r="H112">
        <v>0.05</v>
      </c>
      <c r="I112">
        <v>0.1</v>
      </c>
      <c r="J112">
        <v>0.16</v>
      </c>
      <c r="K112">
        <v>0.2</v>
      </c>
      <c r="L112">
        <v>0.2</v>
      </c>
      <c r="M112">
        <v>0.21</v>
      </c>
      <c r="N112">
        <v>0.21</v>
      </c>
    </row>
    <row r="113" spans="3:14" x14ac:dyDescent="0.2">
      <c r="C113" t="s">
        <v>583</v>
      </c>
      <c r="D113">
        <v>0.01</v>
      </c>
      <c r="E113">
        <v>0.02</v>
      </c>
      <c r="F113">
        <v>0.09</v>
      </c>
      <c r="G113">
        <v>0.21</v>
      </c>
      <c r="H113">
        <v>0.28999999999999998</v>
      </c>
      <c r="I113">
        <v>0.39</v>
      </c>
      <c r="J113">
        <v>0.47</v>
      </c>
      <c r="K113">
        <v>0.44</v>
      </c>
      <c r="L113">
        <v>0.45</v>
      </c>
      <c r="M113">
        <v>0.45</v>
      </c>
      <c r="N113">
        <v>0.45</v>
      </c>
    </row>
    <row r="114" spans="3:14" x14ac:dyDescent="0.2">
      <c r="C114" t="s">
        <v>584</v>
      </c>
      <c r="D114">
        <v>0.01</v>
      </c>
      <c r="E114">
        <v>0.01</v>
      </c>
      <c r="F114">
        <v>0.05</v>
      </c>
      <c r="G114">
        <v>0.1</v>
      </c>
      <c r="H114">
        <v>0.16</v>
      </c>
      <c r="I114">
        <v>0.23</v>
      </c>
      <c r="J114">
        <v>0.3</v>
      </c>
      <c r="K114">
        <v>0.32</v>
      </c>
      <c r="L114">
        <v>0.33</v>
      </c>
      <c r="M114">
        <v>0.33</v>
      </c>
      <c r="N114">
        <v>0.33</v>
      </c>
    </row>
    <row r="115" spans="3:14" x14ac:dyDescent="0.2">
      <c r="C115" t="s">
        <v>585</v>
      </c>
      <c r="D115">
        <v>0.05</v>
      </c>
      <c r="E115">
        <v>0.06</v>
      </c>
      <c r="F115">
        <v>7.0000000000000007E-2</v>
      </c>
      <c r="G115">
        <v>0.06</v>
      </c>
      <c r="H115">
        <v>0.09</v>
      </c>
      <c r="I115">
        <v>0.13</v>
      </c>
      <c r="J115">
        <v>0.16</v>
      </c>
      <c r="K115">
        <v>0.17</v>
      </c>
      <c r="L115">
        <v>0.17</v>
      </c>
      <c r="M115">
        <v>0.18</v>
      </c>
      <c r="N115">
        <v>0.18</v>
      </c>
    </row>
    <row r="116" spans="3:14" x14ac:dyDescent="0.2">
      <c r="C116" t="s">
        <v>586</v>
      </c>
      <c r="D116">
        <v>0.35</v>
      </c>
      <c r="E116">
        <v>0.44</v>
      </c>
      <c r="F116">
        <v>0.51</v>
      </c>
      <c r="G116">
        <v>0.52</v>
      </c>
      <c r="H116">
        <v>0.52</v>
      </c>
      <c r="I116">
        <v>0.54</v>
      </c>
      <c r="J116">
        <v>0.54</v>
      </c>
      <c r="K116">
        <v>0.54</v>
      </c>
      <c r="L116">
        <v>0.54</v>
      </c>
      <c r="M116">
        <v>0.54</v>
      </c>
      <c r="N116">
        <v>0.54</v>
      </c>
    </row>
    <row r="117" spans="3:14" x14ac:dyDescent="0.2">
      <c r="C117" t="s">
        <v>587</v>
      </c>
      <c r="D117">
        <v>0.02</v>
      </c>
      <c r="E117">
        <v>0.01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3:14" x14ac:dyDescent="0.2">
      <c r="C118" t="s">
        <v>588</v>
      </c>
      <c r="D118" s="20">
        <f t="shared" ref="D118:J118" si="13">D98+D101+D102+D106</f>
        <v>32.99</v>
      </c>
      <c r="E118" s="20">
        <f t="shared" si="13"/>
        <v>31.3</v>
      </c>
      <c r="F118" s="20">
        <f t="shared" si="13"/>
        <v>30.39</v>
      </c>
      <c r="G118" s="20">
        <f t="shared" si="13"/>
        <v>33.099999999999994</v>
      </c>
      <c r="H118" s="20">
        <f t="shared" si="13"/>
        <v>36.410000000000004</v>
      </c>
      <c r="I118" s="20">
        <f t="shared" si="13"/>
        <v>37.86</v>
      </c>
      <c r="J118" s="20">
        <f t="shared" si="13"/>
        <v>38.479999999999997</v>
      </c>
      <c r="K118" s="20">
        <f>K98+K102+K106</f>
        <v>42.370000000000005</v>
      </c>
      <c r="L118" s="20">
        <f>L98+L102+L106</f>
        <v>43.26</v>
      </c>
      <c r="M118" s="20">
        <f>M98+M102+M106</f>
        <v>44.580000000000005</v>
      </c>
      <c r="N118" s="20">
        <f>N98+N102+N106</f>
        <v>45.569999999999993</v>
      </c>
    </row>
    <row r="119" spans="3:14" x14ac:dyDescent="0.2">
      <c r="C119" t="s">
        <v>611</v>
      </c>
      <c r="D119">
        <v>-0.89</v>
      </c>
      <c r="E119">
        <v>-0.89</v>
      </c>
      <c r="F119">
        <v>-1.02</v>
      </c>
      <c r="G119">
        <v>-2.13</v>
      </c>
      <c r="H119">
        <v>-4.12</v>
      </c>
      <c r="I119">
        <v>-4.12</v>
      </c>
      <c r="J119">
        <v>-4.12</v>
      </c>
      <c r="K119">
        <v>-4.12</v>
      </c>
      <c r="L119">
        <v>-4.12</v>
      </c>
      <c r="M119">
        <v>-4.12</v>
      </c>
      <c r="N119">
        <v>-4.12</v>
      </c>
    </row>
    <row r="120" spans="3:14" x14ac:dyDescent="0.2">
      <c r="C120" s="14" t="s">
        <v>590</v>
      </c>
      <c r="D120" s="32">
        <f>D118+D119</f>
        <v>32.1</v>
      </c>
      <c r="E120" s="32">
        <f t="shared" ref="E120:N120" si="14">E118+E119</f>
        <v>30.41</v>
      </c>
      <c r="F120" s="32">
        <f t="shared" si="14"/>
        <v>29.37</v>
      </c>
      <c r="G120" s="32">
        <f t="shared" si="14"/>
        <v>30.969999999999995</v>
      </c>
      <c r="H120" s="32">
        <f t="shared" si="14"/>
        <v>32.290000000000006</v>
      </c>
      <c r="I120" s="32">
        <f t="shared" si="14"/>
        <v>33.74</v>
      </c>
      <c r="J120" s="32">
        <f t="shared" si="14"/>
        <v>34.36</v>
      </c>
      <c r="K120" s="32">
        <f t="shared" si="14"/>
        <v>38.250000000000007</v>
      </c>
      <c r="L120" s="32">
        <f t="shared" si="14"/>
        <v>39.14</v>
      </c>
      <c r="M120" s="32">
        <f t="shared" si="14"/>
        <v>40.460000000000008</v>
      </c>
      <c r="N120" s="32">
        <f t="shared" si="14"/>
        <v>41.449999999999996</v>
      </c>
    </row>
    <row r="121" spans="3:14" x14ac:dyDescent="0.2">
      <c r="C121" t="s">
        <v>591</v>
      </c>
      <c r="D121">
        <v>10.16</v>
      </c>
      <c r="E121">
        <v>9.76</v>
      </c>
      <c r="F121">
        <v>9.36</v>
      </c>
      <c r="G121">
        <v>9.36</v>
      </c>
      <c r="H121">
        <v>5.46</v>
      </c>
      <c r="I121">
        <v>4.57</v>
      </c>
      <c r="J121">
        <v>4.57</v>
      </c>
      <c r="K121">
        <v>1.42</v>
      </c>
      <c r="L121">
        <v>0.71</v>
      </c>
      <c r="M121" t="s">
        <v>3</v>
      </c>
      <c r="N121" t="s">
        <v>3</v>
      </c>
    </row>
    <row r="122" spans="3:14" x14ac:dyDescent="0.2">
      <c r="C122" t="s">
        <v>592</v>
      </c>
      <c r="D122">
        <v>10.16</v>
      </c>
      <c r="E122">
        <v>9.76</v>
      </c>
      <c r="F122">
        <v>9.36</v>
      </c>
      <c r="G122">
        <v>9.36</v>
      </c>
      <c r="H122">
        <v>5.46</v>
      </c>
      <c r="I122">
        <v>4.57</v>
      </c>
      <c r="J122">
        <v>4.57</v>
      </c>
      <c r="K122">
        <v>1.42</v>
      </c>
      <c r="L122">
        <v>0.71</v>
      </c>
      <c r="M122" t="s">
        <v>3</v>
      </c>
      <c r="N122" t="s">
        <v>3</v>
      </c>
    </row>
    <row r="123" spans="3:14" x14ac:dyDescent="0.2">
      <c r="C123" t="s">
        <v>593</v>
      </c>
      <c r="D123" t="s">
        <v>3</v>
      </c>
      <c r="E123" t="s">
        <v>3</v>
      </c>
      <c r="F123" t="s">
        <v>3</v>
      </c>
      <c r="G123" t="s">
        <v>3</v>
      </c>
      <c r="H123" t="s">
        <v>3</v>
      </c>
      <c r="I123" t="s">
        <v>3</v>
      </c>
      <c r="J123" t="s">
        <v>3</v>
      </c>
      <c r="K123" t="s">
        <v>3</v>
      </c>
      <c r="L123" t="s">
        <v>3</v>
      </c>
      <c r="M123" t="s">
        <v>3</v>
      </c>
      <c r="N123" t="s">
        <v>3</v>
      </c>
    </row>
    <row r="124" spans="3:14" x14ac:dyDescent="0.2">
      <c r="C124" t="s">
        <v>594</v>
      </c>
      <c r="D124">
        <v>11.67</v>
      </c>
      <c r="E124">
        <v>6.85</v>
      </c>
      <c r="F124">
        <v>4.0999999999999996</v>
      </c>
      <c r="G124">
        <v>4.68</v>
      </c>
      <c r="H124">
        <v>1.1299999999999999</v>
      </c>
      <c r="I124">
        <v>1.1299999999999999</v>
      </c>
      <c r="J124">
        <v>1.1299999999999999</v>
      </c>
      <c r="K124">
        <v>1.1299999999999999</v>
      </c>
      <c r="L124">
        <v>0.36</v>
      </c>
      <c r="M124" t="s">
        <v>3</v>
      </c>
      <c r="N124">
        <v>0</v>
      </c>
    </row>
    <row r="125" spans="3:14" x14ac:dyDescent="0.2">
      <c r="C125" t="s">
        <v>612</v>
      </c>
      <c r="D125">
        <v>1.47</v>
      </c>
      <c r="E125">
        <v>1.1299999999999999</v>
      </c>
      <c r="F125">
        <v>1.1299999999999999</v>
      </c>
      <c r="G125">
        <v>1.1299999999999999</v>
      </c>
      <c r="H125">
        <v>1.1299999999999999</v>
      </c>
      <c r="I125">
        <v>1.1299999999999999</v>
      </c>
      <c r="J125">
        <v>1.1299999999999999</v>
      </c>
      <c r="K125">
        <v>1.1299999999999999</v>
      </c>
      <c r="L125">
        <v>0.36</v>
      </c>
      <c r="M125" t="s">
        <v>3</v>
      </c>
      <c r="N125" t="s">
        <v>3</v>
      </c>
    </row>
    <row r="126" spans="3:14" x14ac:dyDescent="0.2">
      <c r="C126" t="s">
        <v>596</v>
      </c>
      <c r="D126">
        <v>10.199999999999999</v>
      </c>
      <c r="E126">
        <v>5.72</v>
      </c>
      <c r="F126">
        <v>2.97</v>
      </c>
      <c r="G126">
        <v>3.56</v>
      </c>
      <c r="H126">
        <v>0</v>
      </c>
      <c r="I126" t="s">
        <v>3</v>
      </c>
      <c r="J126" t="s">
        <v>3</v>
      </c>
      <c r="K126">
        <v>0</v>
      </c>
      <c r="L126" t="s">
        <v>3</v>
      </c>
      <c r="M126" t="s">
        <v>3</v>
      </c>
      <c r="N126">
        <v>0</v>
      </c>
    </row>
    <row r="127" spans="3:14" x14ac:dyDescent="0.2">
      <c r="C127" s="14" t="s">
        <v>597</v>
      </c>
      <c r="D127" s="32">
        <f>D121-D124</f>
        <v>-1.5099999999999998</v>
      </c>
      <c r="E127" s="32">
        <f t="shared" ref="E127:L127" si="15">E121-E124</f>
        <v>2.91</v>
      </c>
      <c r="F127" s="32">
        <f t="shared" si="15"/>
        <v>5.26</v>
      </c>
      <c r="G127" s="32">
        <f t="shared" si="15"/>
        <v>4.68</v>
      </c>
      <c r="H127" s="32">
        <f t="shared" si="15"/>
        <v>4.33</v>
      </c>
      <c r="I127" s="32">
        <f t="shared" si="15"/>
        <v>3.4400000000000004</v>
      </c>
      <c r="J127" s="32">
        <f t="shared" si="15"/>
        <v>3.4400000000000004</v>
      </c>
      <c r="K127" s="32">
        <f t="shared" si="15"/>
        <v>0.29000000000000004</v>
      </c>
      <c r="L127" s="32">
        <f t="shared" si="15"/>
        <v>0.35</v>
      </c>
      <c r="M127" s="32">
        <v>0</v>
      </c>
      <c r="N127" s="32">
        <v>0</v>
      </c>
    </row>
    <row r="128" spans="3:14" x14ac:dyDescent="0.2">
      <c r="C128" t="s">
        <v>598</v>
      </c>
      <c r="D128" s="20">
        <f>D120+D127</f>
        <v>30.590000000000003</v>
      </c>
      <c r="E128" s="20">
        <f t="shared" ref="E128:N128" si="16">E120+E127</f>
        <v>33.32</v>
      </c>
      <c r="F128" s="20">
        <f t="shared" si="16"/>
        <v>34.630000000000003</v>
      </c>
      <c r="G128" s="20">
        <f t="shared" si="16"/>
        <v>35.649999999999991</v>
      </c>
      <c r="H128" s="20">
        <f t="shared" si="16"/>
        <v>36.620000000000005</v>
      </c>
      <c r="I128" s="20">
        <f t="shared" si="16"/>
        <v>37.18</v>
      </c>
      <c r="J128" s="20">
        <f t="shared" si="16"/>
        <v>37.799999999999997</v>
      </c>
      <c r="K128" s="20">
        <f t="shared" si="16"/>
        <v>38.540000000000006</v>
      </c>
      <c r="L128" s="20">
        <f t="shared" si="16"/>
        <v>39.49</v>
      </c>
      <c r="M128" s="20">
        <f t="shared" si="16"/>
        <v>40.460000000000008</v>
      </c>
      <c r="N128" s="20">
        <f t="shared" si="16"/>
        <v>41.449999999999996</v>
      </c>
    </row>
    <row r="130" spans="2:14" x14ac:dyDescent="0.2">
      <c r="C130" t="s">
        <v>599</v>
      </c>
      <c r="D130">
        <v>32.950000000000003</v>
      </c>
      <c r="E130">
        <v>35.33</v>
      </c>
      <c r="F130">
        <v>36.770000000000003</v>
      </c>
      <c r="G130">
        <v>38.909999999999997</v>
      </c>
      <c r="H130">
        <v>41.87</v>
      </c>
      <c r="I130">
        <v>42.43</v>
      </c>
      <c r="J130">
        <v>43.05</v>
      </c>
      <c r="K130">
        <v>43.79</v>
      </c>
      <c r="L130">
        <v>43.96</v>
      </c>
      <c r="M130">
        <v>44.59</v>
      </c>
      <c r="N130">
        <v>45.57</v>
      </c>
    </row>
    <row r="135" spans="2:14" s="2" customFormat="1" ht="15" x14ac:dyDescent="0.25">
      <c r="C135" s="9" t="s">
        <v>613</v>
      </c>
      <c r="D135" s="2" t="s">
        <v>565</v>
      </c>
    </row>
    <row r="136" spans="2:14" s="2" customFormat="1" ht="15" x14ac:dyDescent="0.25">
      <c r="B136" s="2" t="s">
        <v>614</v>
      </c>
    </row>
    <row r="137" spans="2:14" s="2" customFormat="1" ht="15" x14ac:dyDescent="0.25">
      <c r="B137" s="13" t="s">
        <v>615</v>
      </c>
      <c r="D137" s="2">
        <v>2000</v>
      </c>
      <c r="E137" s="2">
        <v>2005</v>
      </c>
      <c r="F137" s="2">
        <v>2010</v>
      </c>
      <c r="G137" s="2">
        <v>2015</v>
      </c>
      <c r="H137" s="2">
        <v>2020</v>
      </c>
      <c r="I137" s="2">
        <v>2025</v>
      </c>
      <c r="J137" s="2">
        <v>2030</v>
      </c>
      <c r="K137" s="2">
        <v>2035</v>
      </c>
      <c r="L137" s="2">
        <v>2040</v>
      </c>
      <c r="M137" s="2">
        <v>2045</v>
      </c>
      <c r="N137" s="2">
        <v>2050</v>
      </c>
    </row>
    <row r="138" spans="2:14" x14ac:dyDescent="0.2">
      <c r="C138" t="s">
        <v>568</v>
      </c>
      <c r="D138">
        <v>20.67</v>
      </c>
      <c r="E138">
        <v>18.78</v>
      </c>
      <c r="F138">
        <v>21.26</v>
      </c>
      <c r="G138">
        <v>21.77</v>
      </c>
      <c r="H138">
        <v>22.68</v>
      </c>
      <c r="I138">
        <v>22.61</v>
      </c>
      <c r="J138">
        <v>22.52</v>
      </c>
      <c r="K138">
        <v>22.34</v>
      </c>
      <c r="L138">
        <v>22.24</v>
      </c>
      <c r="M138">
        <v>21.92</v>
      </c>
      <c r="N138">
        <v>21.71</v>
      </c>
    </row>
    <row r="139" spans="2:14" x14ac:dyDescent="0.2">
      <c r="C139" t="s">
        <v>602</v>
      </c>
      <c r="D139">
        <v>20.67</v>
      </c>
      <c r="E139">
        <v>18.78</v>
      </c>
      <c r="F139">
        <v>21.26</v>
      </c>
      <c r="G139">
        <v>21</v>
      </c>
      <c r="H139">
        <v>20.78</v>
      </c>
      <c r="I139">
        <v>20.58</v>
      </c>
      <c r="J139">
        <v>20.37</v>
      </c>
      <c r="K139">
        <v>20.07</v>
      </c>
      <c r="L139">
        <v>19.82</v>
      </c>
      <c r="M139">
        <v>19.32</v>
      </c>
      <c r="N139">
        <v>18.95</v>
      </c>
    </row>
    <row r="140" spans="2:14" x14ac:dyDescent="0.2">
      <c r="C140" t="s">
        <v>603</v>
      </c>
      <c r="D140" t="s">
        <v>572</v>
      </c>
      <c r="E140" t="s">
        <v>3</v>
      </c>
      <c r="F140" t="s">
        <v>3</v>
      </c>
      <c r="G140">
        <v>0.76</v>
      </c>
      <c r="H140">
        <v>1.89</v>
      </c>
      <c r="I140">
        <v>2.0299999999999998</v>
      </c>
      <c r="J140">
        <v>2.15</v>
      </c>
      <c r="K140">
        <v>2.27</v>
      </c>
      <c r="L140">
        <v>2.42</v>
      </c>
      <c r="M140">
        <v>2.61</v>
      </c>
      <c r="N140">
        <v>2.77</v>
      </c>
    </row>
    <row r="141" spans="2:14" x14ac:dyDescent="0.2">
      <c r="C141" t="s">
        <v>571</v>
      </c>
      <c r="D141">
        <v>11.01</v>
      </c>
      <c r="E141">
        <v>7.97</v>
      </c>
      <c r="F141">
        <v>10.96</v>
      </c>
      <c r="G141">
        <v>11.08</v>
      </c>
      <c r="H141">
        <v>9.77</v>
      </c>
      <c r="I141">
        <v>7.21</v>
      </c>
      <c r="J141">
        <v>3.97</v>
      </c>
      <c r="K141" t="s">
        <v>3</v>
      </c>
      <c r="L141" t="s">
        <v>3</v>
      </c>
      <c r="M141" t="s">
        <v>3</v>
      </c>
      <c r="N141" t="s">
        <v>3</v>
      </c>
    </row>
    <row r="142" spans="2:14" x14ac:dyDescent="0.2">
      <c r="C142" t="s">
        <v>604</v>
      </c>
      <c r="D142">
        <v>0.67</v>
      </c>
      <c r="E142">
        <v>0.82</v>
      </c>
      <c r="F142">
        <v>0.88</v>
      </c>
      <c r="G142">
        <v>1.04</v>
      </c>
      <c r="H142">
        <v>1.1599999999999999</v>
      </c>
      <c r="I142">
        <v>1.19</v>
      </c>
      <c r="J142">
        <v>3.18</v>
      </c>
      <c r="K142">
        <v>9.17</v>
      </c>
      <c r="L142">
        <v>8.82</v>
      </c>
      <c r="M142">
        <v>9.0500000000000007</v>
      </c>
      <c r="N142">
        <v>8.9600000000000009</v>
      </c>
    </row>
    <row r="143" spans="2:14" x14ac:dyDescent="0.2">
      <c r="C143" t="s">
        <v>605</v>
      </c>
      <c r="D143">
        <v>0.67</v>
      </c>
      <c r="E143">
        <v>0.82</v>
      </c>
      <c r="F143">
        <v>0.88</v>
      </c>
      <c r="G143">
        <v>0.71</v>
      </c>
      <c r="H143">
        <v>0.62</v>
      </c>
      <c r="I143">
        <v>0.38</v>
      </c>
      <c r="J143">
        <v>0.24</v>
      </c>
      <c r="K143">
        <v>0.14000000000000001</v>
      </c>
      <c r="L143" t="s">
        <v>3</v>
      </c>
      <c r="M143" t="s">
        <v>3</v>
      </c>
      <c r="N143" t="s">
        <v>3</v>
      </c>
    </row>
    <row r="144" spans="2:14" x14ac:dyDescent="0.2">
      <c r="C144" t="s">
        <v>606</v>
      </c>
      <c r="D144" t="s">
        <v>3</v>
      </c>
      <c r="E144" t="s">
        <v>3</v>
      </c>
      <c r="F144" t="s">
        <v>3</v>
      </c>
      <c r="G144" t="s">
        <v>3</v>
      </c>
      <c r="H144" t="s">
        <v>3</v>
      </c>
      <c r="I144" t="s">
        <v>3</v>
      </c>
      <c r="J144">
        <v>1.95</v>
      </c>
      <c r="K144">
        <v>7.94</v>
      </c>
      <c r="L144">
        <v>7.67</v>
      </c>
      <c r="M144">
        <v>7.89</v>
      </c>
      <c r="N144">
        <v>7.8</v>
      </c>
    </row>
    <row r="145" spans="3:14" x14ac:dyDescent="0.2">
      <c r="C145" t="s">
        <v>607</v>
      </c>
      <c r="D145" t="s">
        <v>3</v>
      </c>
      <c r="E145" t="s">
        <v>3</v>
      </c>
      <c r="F145" t="s">
        <v>3</v>
      </c>
      <c r="G145">
        <v>0.34</v>
      </c>
      <c r="H145">
        <v>0.54</v>
      </c>
      <c r="I145">
        <v>0.8</v>
      </c>
      <c r="J145">
        <v>0.99</v>
      </c>
      <c r="K145">
        <v>1.08</v>
      </c>
      <c r="L145">
        <v>1.1599999999999999</v>
      </c>
      <c r="M145">
        <v>1.1599999999999999</v>
      </c>
      <c r="N145">
        <v>1.1599999999999999</v>
      </c>
    </row>
    <row r="146" spans="3:14" x14ac:dyDescent="0.2">
      <c r="C146" t="s">
        <v>608</v>
      </c>
      <c r="D146">
        <v>0.36</v>
      </c>
      <c r="E146">
        <v>0.45</v>
      </c>
      <c r="F146">
        <v>0.62</v>
      </c>
      <c r="G146">
        <v>0.82</v>
      </c>
      <c r="H146">
        <v>1.08</v>
      </c>
      <c r="I146">
        <v>1.46</v>
      </c>
      <c r="J146">
        <v>2.0499999999999998</v>
      </c>
      <c r="K146">
        <v>3.32</v>
      </c>
      <c r="L146">
        <v>4.13</v>
      </c>
      <c r="M146">
        <v>5.16</v>
      </c>
      <c r="N146">
        <v>6.09</v>
      </c>
    </row>
    <row r="147" spans="3:14" x14ac:dyDescent="0.2">
      <c r="C147" t="s">
        <v>609</v>
      </c>
      <c r="D147">
        <v>0.36</v>
      </c>
      <c r="E147">
        <v>0.45</v>
      </c>
      <c r="F147">
        <v>0.62</v>
      </c>
      <c r="G147">
        <v>0.47</v>
      </c>
      <c r="H147">
        <v>0.42</v>
      </c>
      <c r="I147">
        <v>0.32</v>
      </c>
      <c r="J147">
        <v>0.19</v>
      </c>
      <c r="K147">
        <v>0.04</v>
      </c>
      <c r="L147">
        <v>0</v>
      </c>
      <c r="M147" t="s">
        <v>3</v>
      </c>
      <c r="N147" t="s">
        <v>3</v>
      </c>
    </row>
    <row r="148" spans="3:14" x14ac:dyDescent="0.2">
      <c r="C148" t="s">
        <v>610</v>
      </c>
      <c r="D148" t="s">
        <v>3</v>
      </c>
      <c r="E148" t="s">
        <v>3</v>
      </c>
      <c r="F148" t="s">
        <v>3</v>
      </c>
      <c r="G148">
        <v>0.36</v>
      </c>
      <c r="H148">
        <v>0.66</v>
      </c>
      <c r="I148">
        <v>1.1399999999999999</v>
      </c>
      <c r="J148">
        <v>1.86</v>
      </c>
      <c r="K148">
        <v>3.27</v>
      </c>
      <c r="L148">
        <v>4.12</v>
      </c>
      <c r="M148">
        <v>5.16</v>
      </c>
      <c r="N148">
        <v>6.09</v>
      </c>
    </row>
    <row r="149" spans="3:14" x14ac:dyDescent="0.2">
      <c r="C149" t="s">
        <v>580</v>
      </c>
      <c r="D149">
        <v>0.01</v>
      </c>
      <c r="E149">
        <v>0.01</v>
      </c>
      <c r="F149">
        <v>0.06</v>
      </c>
      <c r="G149">
        <v>0.15</v>
      </c>
      <c r="H149">
        <v>0.25</v>
      </c>
      <c r="I149">
        <v>0.4</v>
      </c>
      <c r="J149">
        <v>0.7</v>
      </c>
      <c r="K149">
        <v>1.84</v>
      </c>
      <c r="L149">
        <v>2.54</v>
      </c>
      <c r="M149">
        <v>3.45</v>
      </c>
      <c r="N149">
        <v>4.32</v>
      </c>
    </row>
    <row r="150" spans="3:14" x14ac:dyDescent="0.2">
      <c r="C150" t="s">
        <v>581</v>
      </c>
      <c r="D150">
        <v>0</v>
      </c>
      <c r="E150">
        <v>0</v>
      </c>
      <c r="F150">
        <v>0.01</v>
      </c>
      <c r="G150">
        <v>0.04</v>
      </c>
      <c r="H150">
        <v>0.06</v>
      </c>
      <c r="I150">
        <v>0.1</v>
      </c>
      <c r="J150">
        <v>0.23</v>
      </c>
      <c r="K150">
        <v>0.31</v>
      </c>
      <c r="L150">
        <v>0.41</v>
      </c>
      <c r="M150">
        <v>0.5</v>
      </c>
      <c r="N150">
        <v>0.56000000000000005</v>
      </c>
    </row>
    <row r="151" spans="3:14" x14ac:dyDescent="0.2">
      <c r="C151" t="s">
        <v>582</v>
      </c>
      <c r="D151" t="s">
        <v>3</v>
      </c>
      <c r="E151" t="s">
        <v>3</v>
      </c>
      <c r="F151" t="s">
        <v>3</v>
      </c>
      <c r="G151" t="s">
        <v>3</v>
      </c>
      <c r="H151" t="s">
        <v>3</v>
      </c>
      <c r="I151" t="s">
        <v>3</v>
      </c>
      <c r="J151" t="s">
        <v>3</v>
      </c>
      <c r="K151" t="s">
        <v>3</v>
      </c>
      <c r="L151" t="s">
        <v>3</v>
      </c>
      <c r="M151" t="s">
        <v>3</v>
      </c>
      <c r="N151" t="s">
        <v>3</v>
      </c>
    </row>
    <row r="152" spans="3:14" x14ac:dyDescent="0.2">
      <c r="C152" t="s">
        <v>47</v>
      </c>
      <c r="D152" t="s">
        <v>3</v>
      </c>
      <c r="E152" t="s">
        <v>3</v>
      </c>
      <c r="F152" t="s">
        <v>3</v>
      </c>
      <c r="G152">
        <v>0.02</v>
      </c>
      <c r="H152">
        <v>0.05</v>
      </c>
      <c r="I152">
        <v>0.1</v>
      </c>
      <c r="J152">
        <v>0.16</v>
      </c>
      <c r="K152">
        <v>0.2</v>
      </c>
      <c r="L152">
        <v>0.2</v>
      </c>
      <c r="M152">
        <v>0.21</v>
      </c>
      <c r="N152">
        <v>0.21</v>
      </c>
    </row>
    <row r="153" spans="3:14" x14ac:dyDescent="0.2">
      <c r="C153" t="s">
        <v>583</v>
      </c>
      <c r="D153">
        <v>0.01</v>
      </c>
      <c r="E153">
        <v>0.01</v>
      </c>
      <c r="F153">
        <v>0.04</v>
      </c>
      <c r="G153">
        <v>0.09</v>
      </c>
      <c r="H153">
        <v>0.13</v>
      </c>
      <c r="I153">
        <v>0.18</v>
      </c>
      <c r="J153">
        <v>0.23</v>
      </c>
      <c r="K153">
        <v>0.22</v>
      </c>
      <c r="L153">
        <v>0.23</v>
      </c>
      <c r="M153">
        <v>0.23</v>
      </c>
      <c r="N153">
        <v>0.23</v>
      </c>
    </row>
    <row r="154" spans="3:14" x14ac:dyDescent="0.2">
      <c r="C154" t="s">
        <v>584</v>
      </c>
      <c r="D154">
        <v>0</v>
      </c>
      <c r="E154">
        <v>0.01</v>
      </c>
      <c r="F154">
        <v>0.03</v>
      </c>
      <c r="G154">
        <v>0.06</v>
      </c>
      <c r="H154">
        <v>0.1</v>
      </c>
      <c r="I154">
        <v>0.14000000000000001</v>
      </c>
      <c r="J154">
        <v>0.18</v>
      </c>
      <c r="K154">
        <v>0.19</v>
      </c>
      <c r="L154">
        <v>0.19</v>
      </c>
      <c r="M154">
        <v>0.2</v>
      </c>
      <c r="N154">
        <v>0.2</v>
      </c>
    </row>
    <row r="155" spans="3:14" x14ac:dyDescent="0.2">
      <c r="C155" t="s">
        <v>585</v>
      </c>
      <c r="D155">
        <v>0.04</v>
      </c>
      <c r="E155">
        <v>0.04</v>
      </c>
      <c r="F155">
        <v>0.05</v>
      </c>
      <c r="G155">
        <v>0.04</v>
      </c>
      <c r="H155">
        <v>7.0000000000000007E-2</v>
      </c>
      <c r="I155">
        <v>0.09</v>
      </c>
      <c r="J155">
        <v>0.11</v>
      </c>
      <c r="K155">
        <v>0.12</v>
      </c>
      <c r="L155">
        <v>0.12</v>
      </c>
      <c r="M155">
        <v>0.12</v>
      </c>
      <c r="N155">
        <v>0.12</v>
      </c>
    </row>
    <row r="156" spans="3:14" x14ac:dyDescent="0.2">
      <c r="C156" t="s">
        <v>586</v>
      </c>
      <c r="D156">
        <v>0.28999999999999998</v>
      </c>
      <c r="E156">
        <v>0.36</v>
      </c>
      <c r="F156">
        <v>0.41</v>
      </c>
      <c r="G156">
        <v>0.42</v>
      </c>
      <c r="H156">
        <v>0.42</v>
      </c>
      <c r="I156">
        <v>0.44</v>
      </c>
      <c r="J156">
        <v>0.44</v>
      </c>
      <c r="K156">
        <v>0.44</v>
      </c>
      <c r="L156">
        <v>0.44</v>
      </c>
      <c r="M156">
        <v>0.44</v>
      </c>
      <c r="N156">
        <v>0.44</v>
      </c>
    </row>
    <row r="157" spans="3:14" x14ac:dyDescent="0.2">
      <c r="C157" t="s">
        <v>587</v>
      </c>
      <c r="D157">
        <v>0.02</v>
      </c>
      <c r="E157">
        <v>0.01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3:14" x14ac:dyDescent="0.2">
      <c r="C158" t="s">
        <v>588</v>
      </c>
      <c r="D158" s="20">
        <f t="shared" ref="D158:J158" si="17">D138+D141+D142+D146</f>
        <v>32.71</v>
      </c>
      <c r="E158" s="20">
        <f t="shared" si="17"/>
        <v>28.02</v>
      </c>
      <c r="F158" s="20">
        <f t="shared" si="17"/>
        <v>33.72</v>
      </c>
      <c r="G158" s="20">
        <f t="shared" si="17"/>
        <v>34.71</v>
      </c>
      <c r="H158" s="20">
        <f t="shared" si="17"/>
        <v>34.69</v>
      </c>
      <c r="I158" s="20">
        <f t="shared" si="17"/>
        <v>32.47</v>
      </c>
      <c r="J158" s="20">
        <f t="shared" si="17"/>
        <v>31.72</v>
      </c>
      <c r="K158" s="20">
        <f>K138+K142+K146</f>
        <v>34.83</v>
      </c>
      <c r="L158" s="20">
        <f>L138+L142+L146</f>
        <v>35.19</v>
      </c>
      <c r="M158" s="20">
        <f>M138+M142+M146</f>
        <v>36.130000000000003</v>
      </c>
      <c r="N158" s="20">
        <f>N138+N142+N146</f>
        <v>36.760000000000005</v>
      </c>
    </row>
    <row r="159" spans="3:14" x14ac:dyDescent="0.2">
      <c r="C159" t="s">
        <v>611</v>
      </c>
      <c r="D159">
        <v>-1.33</v>
      </c>
      <c r="E159">
        <v>-1.33</v>
      </c>
      <c r="F159">
        <v>-1.53</v>
      </c>
      <c r="G159">
        <v>-2.21</v>
      </c>
      <c r="H159">
        <v>-3.42</v>
      </c>
      <c r="I159">
        <v>-3.42</v>
      </c>
      <c r="J159">
        <v>-3.42</v>
      </c>
      <c r="K159">
        <v>-3.42</v>
      </c>
      <c r="L159">
        <v>-3.42</v>
      </c>
      <c r="M159">
        <v>-3.42</v>
      </c>
      <c r="N159">
        <v>-3.42</v>
      </c>
    </row>
    <row r="160" spans="3:14" x14ac:dyDescent="0.2">
      <c r="C160" s="14" t="s">
        <v>590</v>
      </c>
      <c r="D160" s="32">
        <f>D158+D159</f>
        <v>31.380000000000003</v>
      </c>
      <c r="E160" s="32">
        <f t="shared" ref="E160:N160" si="18">E158+E159</f>
        <v>26.689999999999998</v>
      </c>
      <c r="F160" s="32">
        <f t="shared" si="18"/>
        <v>32.19</v>
      </c>
      <c r="G160" s="32">
        <f t="shared" si="18"/>
        <v>32.5</v>
      </c>
      <c r="H160" s="32">
        <f t="shared" si="18"/>
        <v>31.269999999999996</v>
      </c>
      <c r="I160" s="32">
        <f t="shared" si="18"/>
        <v>29.049999999999997</v>
      </c>
      <c r="J160" s="32">
        <f t="shared" si="18"/>
        <v>28.299999999999997</v>
      </c>
      <c r="K160" s="32">
        <f t="shared" si="18"/>
        <v>31.409999999999997</v>
      </c>
      <c r="L160" s="32">
        <f t="shared" si="18"/>
        <v>31.769999999999996</v>
      </c>
      <c r="M160" s="32">
        <f t="shared" si="18"/>
        <v>32.71</v>
      </c>
      <c r="N160" s="32">
        <f t="shared" si="18"/>
        <v>33.340000000000003</v>
      </c>
    </row>
    <row r="161" spans="3:14" x14ac:dyDescent="0.2">
      <c r="C161" t="s">
        <v>591</v>
      </c>
      <c r="D161">
        <v>8.56</v>
      </c>
      <c r="E161">
        <v>8.2200000000000006</v>
      </c>
      <c r="F161">
        <v>7.88</v>
      </c>
      <c r="G161">
        <v>7.88</v>
      </c>
      <c r="H161">
        <v>4.5999999999999996</v>
      </c>
      <c r="I161">
        <v>3.85</v>
      </c>
      <c r="J161">
        <v>3.85</v>
      </c>
      <c r="K161">
        <v>1.19</v>
      </c>
      <c r="L161">
        <v>0.6</v>
      </c>
      <c r="M161" t="s">
        <v>3</v>
      </c>
      <c r="N161" t="s">
        <v>3</v>
      </c>
    </row>
    <row r="162" spans="3:14" x14ac:dyDescent="0.2">
      <c r="C162" t="s">
        <v>592</v>
      </c>
      <c r="D162">
        <v>8.56</v>
      </c>
      <c r="E162">
        <v>8.2200000000000006</v>
      </c>
      <c r="F162">
        <v>7.88</v>
      </c>
      <c r="G162">
        <v>7.88</v>
      </c>
      <c r="H162">
        <v>4.5999999999999996</v>
      </c>
      <c r="I162">
        <v>3.85</v>
      </c>
      <c r="J162">
        <v>3.85</v>
      </c>
      <c r="K162">
        <v>1.19</v>
      </c>
      <c r="L162">
        <v>0.6</v>
      </c>
      <c r="M162" t="s">
        <v>3</v>
      </c>
      <c r="N162" t="s">
        <v>3</v>
      </c>
    </row>
    <row r="163" spans="3:14" x14ac:dyDescent="0.2">
      <c r="C163" t="s">
        <v>593</v>
      </c>
      <c r="D163" t="s">
        <v>3</v>
      </c>
      <c r="E163" t="s">
        <v>3</v>
      </c>
      <c r="F163" t="s">
        <v>3</v>
      </c>
      <c r="G163" t="s">
        <v>3</v>
      </c>
      <c r="H163" t="s">
        <v>3</v>
      </c>
      <c r="I163" t="s">
        <v>3</v>
      </c>
      <c r="J163" t="s">
        <v>3</v>
      </c>
      <c r="K163" t="s">
        <v>3</v>
      </c>
      <c r="L163" t="s">
        <v>3</v>
      </c>
      <c r="M163" t="s">
        <v>3</v>
      </c>
      <c r="N163" t="s">
        <v>3</v>
      </c>
    </row>
    <row r="164" spans="3:14" x14ac:dyDescent="0.2">
      <c r="C164" t="s">
        <v>594</v>
      </c>
      <c r="D164">
        <v>14.39</v>
      </c>
      <c r="E164">
        <v>6.9</v>
      </c>
      <c r="F164">
        <v>11.09</v>
      </c>
      <c r="G164">
        <v>10.71</v>
      </c>
      <c r="H164">
        <v>5.52</v>
      </c>
      <c r="I164">
        <v>2.2400000000000002</v>
      </c>
      <c r="J164">
        <v>1.1399999999999999</v>
      </c>
      <c r="K164">
        <v>1.1399999999999999</v>
      </c>
      <c r="L164">
        <v>0.3</v>
      </c>
      <c r="M164" t="s">
        <v>3</v>
      </c>
      <c r="N164" t="s">
        <v>3</v>
      </c>
    </row>
    <row r="165" spans="3:14" x14ac:dyDescent="0.2">
      <c r="C165" t="s">
        <v>612</v>
      </c>
      <c r="D165">
        <v>1.35</v>
      </c>
      <c r="E165">
        <v>1.1399999999999999</v>
      </c>
      <c r="F165">
        <v>1.1399999999999999</v>
      </c>
      <c r="G165">
        <v>1.1399999999999999</v>
      </c>
      <c r="H165">
        <v>1.1399999999999999</v>
      </c>
      <c r="I165">
        <v>1.1399999999999999</v>
      </c>
      <c r="J165">
        <v>1.1399999999999999</v>
      </c>
      <c r="K165">
        <v>1.1399999999999999</v>
      </c>
      <c r="L165">
        <v>0.3</v>
      </c>
      <c r="M165" t="s">
        <v>3</v>
      </c>
      <c r="N165" t="s">
        <v>3</v>
      </c>
    </row>
    <row r="166" spans="3:14" x14ac:dyDescent="0.2">
      <c r="C166" t="s">
        <v>596</v>
      </c>
      <c r="D166">
        <v>13.04</v>
      </c>
      <c r="E166">
        <v>5.76</v>
      </c>
      <c r="F166">
        <v>9.9600000000000009</v>
      </c>
      <c r="G166">
        <v>9.57</v>
      </c>
      <c r="H166">
        <v>4.3899999999999997</v>
      </c>
      <c r="I166">
        <v>1.1000000000000001</v>
      </c>
      <c r="J166">
        <v>0</v>
      </c>
      <c r="K166" t="s">
        <v>3</v>
      </c>
      <c r="L166">
        <v>0</v>
      </c>
      <c r="M166" t="s">
        <v>572</v>
      </c>
      <c r="N166" t="s">
        <v>3</v>
      </c>
    </row>
    <row r="167" spans="3:14" x14ac:dyDescent="0.2">
      <c r="C167" s="14" t="s">
        <v>597</v>
      </c>
      <c r="D167" s="32">
        <f>D161-D164</f>
        <v>-5.83</v>
      </c>
      <c r="E167" s="32">
        <f t="shared" ref="E167:L167" si="19">E161-E164</f>
        <v>1.3200000000000003</v>
      </c>
      <c r="F167" s="32">
        <f t="shared" si="19"/>
        <v>-3.21</v>
      </c>
      <c r="G167" s="32">
        <f t="shared" si="19"/>
        <v>-2.830000000000001</v>
      </c>
      <c r="H167" s="32">
        <f t="shared" si="19"/>
        <v>-0.91999999999999993</v>
      </c>
      <c r="I167" s="32">
        <f t="shared" si="19"/>
        <v>1.6099999999999999</v>
      </c>
      <c r="J167" s="32">
        <f t="shared" si="19"/>
        <v>2.71</v>
      </c>
      <c r="K167" s="32">
        <f t="shared" si="19"/>
        <v>5.0000000000000044E-2</v>
      </c>
      <c r="L167" s="32">
        <f t="shared" si="19"/>
        <v>0.3</v>
      </c>
      <c r="M167" s="32">
        <v>0</v>
      </c>
      <c r="N167" s="32">
        <v>0</v>
      </c>
    </row>
    <row r="168" spans="3:14" x14ac:dyDescent="0.2">
      <c r="C168" t="s">
        <v>598</v>
      </c>
      <c r="D168" s="20">
        <f>D160+D167</f>
        <v>25.550000000000004</v>
      </c>
      <c r="E168" s="20">
        <f t="shared" ref="E168:N168" si="20">E160+E167</f>
        <v>28.009999999999998</v>
      </c>
      <c r="F168" s="20">
        <f t="shared" si="20"/>
        <v>28.979999999999997</v>
      </c>
      <c r="G168" s="20">
        <f t="shared" si="20"/>
        <v>29.669999999999998</v>
      </c>
      <c r="H168" s="20">
        <f t="shared" si="20"/>
        <v>30.349999999999994</v>
      </c>
      <c r="I168" s="20">
        <f t="shared" si="20"/>
        <v>30.659999999999997</v>
      </c>
      <c r="J168" s="20">
        <f t="shared" si="20"/>
        <v>31.009999999999998</v>
      </c>
      <c r="K168" s="20">
        <f t="shared" si="20"/>
        <v>31.459999999999997</v>
      </c>
      <c r="L168" s="20">
        <f t="shared" si="20"/>
        <v>32.069999999999993</v>
      </c>
      <c r="M168" s="20">
        <f t="shared" si="20"/>
        <v>32.71</v>
      </c>
      <c r="N168" s="20">
        <f t="shared" si="20"/>
        <v>33.340000000000003</v>
      </c>
    </row>
    <row r="170" spans="3:14" x14ac:dyDescent="0.2">
      <c r="C170" t="s">
        <v>599</v>
      </c>
      <c r="D170">
        <v>28.23</v>
      </c>
      <c r="E170">
        <v>30.48</v>
      </c>
      <c r="F170">
        <v>31.64</v>
      </c>
      <c r="G170">
        <v>33.020000000000003</v>
      </c>
      <c r="H170">
        <v>34.9</v>
      </c>
      <c r="I170">
        <v>35.21</v>
      </c>
      <c r="J170">
        <v>35.57</v>
      </c>
      <c r="K170">
        <v>36.020000000000003</v>
      </c>
      <c r="L170">
        <v>35.79</v>
      </c>
      <c r="M170">
        <v>36.130000000000003</v>
      </c>
      <c r="N170">
        <v>36.76</v>
      </c>
    </row>
    <row r="175" spans="3:14" x14ac:dyDescent="0.2">
      <c r="C175" t="s">
        <v>616</v>
      </c>
    </row>
    <row r="177" spans="3:14" s="2" customFormat="1" ht="15" x14ac:dyDescent="0.25">
      <c r="C177" s="9" t="s">
        <v>617</v>
      </c>
      <c r="D177" s="2" t="s">
        <v>565</v>
      </c>
    </row>
    <row r="178" spans="3:14" s="2" customFormat="1" ht="15" x14ac:dyDescent="0.25">
      <c r="C178" s="2" t="s">
        <v>618</v>
      </c>
    </row>
    <row r="179" spans="3:14" s="2" customFormat="1" ht="15" x14ac:dyDescent="0.25">
      <c r="D179" s="2">
        <v>2000</v>
      </c>
      <c r="E179" s="2">
        <v>2005</v>
      </c>
      <c r="F179" s="2">
        <v>2010</v>
      </c>
      <c r="G179" s="2">
        <v>2015</v>
      </c>
      <c r="H179" s="2">
        <v>2020</v>
      </c>
      <c r="I179" s="2">
        <v>2025</v>
      </c>
      <c r="J179" s="2">
        <v>2030</v>
      </c>
      <c r="K179" s="2">
        <v>2035</v>
      </c>
      <c r="L179" s="2">
        <v>2040</v>
      </c>
      <c r="M179" s="2">
        <v>2045</v>
      </c>
      <c r="N179" s="2">
        <v>2050</v>
      </c>
    </row>
    <row r="180" spans="3:14" x14ac:dyDescent="0.2">
      <c r="C180" t="s">
        <v>619</v>
      </c>
      <c r="D180">
        <v>2.9</v>
      </c>
      <c r="E180">
        <v>2.2000000000000002</v>
      </c>
      <c r="F180">
        <v>2.2000000000000002</v>
      </c>
      <c r="G180">
        <v>2.7</v>
      </c>
      <c r="H180">
        <v>2.7</v>
      </c>
      <c r="I180">
        <v>2.9</v>
      </c>
      <c r="J180">
        <v>3</v>
      </c>
      <c r="K180">
        <v>2.4</v>
      </c>
      <c r="L180">
        <v>2.4</v>
      </c>
      <c r="M180">
        <v>2.4</v>
      </c>
      <c r="N180">
        <v>2.4</v>
      </c>
    </row>
    <row r="181" spans="3:14" x14ac:dyDescent="0.2">
      <c r="C181" t="s">
        <v>332</v>
      </c>
      <c r="D181">
        <v>10.9</v>
      </c>
      <c r="E181">
        <v>11.7</v>
      </c>
      <c r="F181">
        <v>11.6</v>
      </c>
      <c r="G181">
        <v>15.9</v>
      </c>
      <c r="H181">
        <v>34.1</v>
      </c>
      <c r="I181">
        <v>57.6</v>
      </c>
      <c r="J181">
        <v>91.8</v>
      </c>
      <c r="K181">
        <v>172.7</v>
      </c>
      <c r="L181">
        <v>171.5</v>
      </c>
      <c r="M181">
        <v>176.8</v>
      </c>
      <c r="N181">
        <v>176.5</v>
      </c>
    </row>
    <row r="182" spans="3:14" x14ac:dyDescent="0.2">
      <c r="C182" t="s">
        <v>101</v>
      </c>
      <c r="D182">
        <v>2.2000000000000002</v>
      </c>
      <c r="E182">
        <v>2.7</v>
      </c>
      <c r="F182">
        <v>5.9</v>
      </c>
      <c r="G182">
        <v>10</v>
      </c>
      <c r="H182">
        <v>14</v>
      </c>
      <c r="I182">
        <v>18.7</v>
      </c>
      <c r="J182">
        <v>21.9</v>
      </c>
      <c r="K182">
        <v>20.8</v>
      </c>
      <c r="L182">
        <v>20.5</v>
      </c>
      <c r="M182">
        <v>19.899999999999999</v>
      </c>
      <c r="N182">
        <v>19</v>
      </c>
    </row>
    <row r="183" spans="3:14" x14ac:dyDescent="0.2">
      <c r="C183" t="s">
        <v>620</v>
      </c>
      <c r="D183">
        <v>42.3</v>
      </c>
      <c r="E183">
        <v>51.8</v>
      </c>
      <c r="F183">
        <v>56.6</v>
      </c>
      <c r="G183">
        <v>46.6</v>
      </c>
      <c r="H183">
        <v>45.9</v>
      </c>
      <c r="I183">
        <v>44.2</v>
      </c>
      <c r="J183">
        <v>42.7</v>
      </c>
      <c r="K183">
        <v>42</v>
      </c>
      <c r="L183">
        <v>41.6</v>
      </c>
      <c r="M183">
        <v>39.700000000000003</v>
      </c>
      <c r="N183">
        <v>39.5</v>
      </c>
    </row>
    <row r="184" spans="3:14" x14ac:dyDescent="0.2">
      <c r="C184" t="s">
        <v>621</v>
      </c>
      <c r="D184">
        <v>261.89999999999998</v>
      </c>
      <c r="E184">
        <v>233</v>
      </c>
      <c r="F184">
        <v>266.10000000000002</v>
      </c>
      <c r="G184">
        <v>260.10000000000002</v>
      </c>
      <c r="H184">
        <v>228.6</v>
      </c>
      <c r="I184">
        <v>166.6</v>
      </c>
      <c r="J184">
        <v>90.6</v>
      </c>
      <c r="K184">
        <v>0</v>
      </c>
      <c r="L184">
        <v>0</v>
      </c>
      <c r="M184">
        <v>0</v>
      </c>
      <c r="N184">
        <v>0</v>
      </c>
    </row>
    <row r="185" spans="3:14" x14ac:dyDescent="0.2">
      <c r="C185" t="s">
        <v>132</v>
      </c>
      <c r="D185">
        <v>138.19999999999999</v>
      </c>
      <c r="E185">
        <v>123.6</v>
      </c>
      <c r="F185">
        <v>127.5</v>
      </c>
      <c r="G185">
        <v>139.5</v>
      </c>
      <c r="H185">
        <v>149.30000000000001</v>
      </c>
      <c r="I185">
        <v>149.9</v>
      </c>
      <c r="J185">
        <v>150.4</v>
      </c>
      <c r="K185">
        <v>150.30000000000001</v>
      </c>
      <c r="L185">
        <v>150.69999999999999</v>
      </c>
      <c r="M185">
        <v>149.80000000000001</v>
      </c>
      <c r="N185">
        <v>149.69999999999999</v>
      </c>
    </row>
    <row r="186" spans="3:14" x14ac:dyDescent="0.2">
      <c r="C186" t="s">
        <v>622</v>
      </c>
      <c r="D186">
        <v>0</v>
      </c>
      <c r="E186">
        <v>0</v>
      </c>
      <c r="F186">
        <v>0.1</v>
      </c>
      <c r="G186">
        <v>0.3</v>
      </c>
      <c r="H186">
        <v>0.5</v>
      </c>
      <c r="I186">
        <v>0.9</v>
      </c>
      <c r="J186">
        <v>2</v>
      </c>
      <c r="K186">
        <v>2.8</v>
      </c>
      <c r="L186">
        <v>3.7</v>
      </c>
      <c r="M186">
        <v>4.5</v>
      </c>
      <c r="N186">
        <v>5.0999999999999996</v>
      </c>
    </row>
    <row r="187" spans="3:14" x14ac:dyDescent="0.2">
      <c r="C187" t="s">
        <v>623</v>
      </c>
      <c r="D187">
        <v>0</v>
      </c>
      <c r="E187">
        <v>0.1</v>
      </c>
      <c r="F187">
        <v>0.3</v>
      </c>
      <c r="G187">
        <v>0.8</v>
      </c>
      <c r="H187">
        <v>1.2</v>
      </c>
      <c r="I187">
        <v>2</v>
      </c>
      <c r="J187">
        <v>3.5</v>
      </c>
      <c r="K187">
        <v>9.1</v>
      </c>
      <c r="L187">
        <v>12.5</v>
      </c>
      <c r="M187">
        <v>17</v>
      </c>
      <c r="N187">
        <v>21.3</v>
      </c>
    </row>
    <row r="188" spans="3:14" x14ac:dyDescent="0.2">
      <c r="C188" t="s">
        <v>47</v>
      </c>
      <c r="D188">
        <v>0</v>
      </c>
      <c r="E188">
        <v>0</v>
      </c>
      <c r="F188">
        <v>0</v>
      </c>
      <c r="G188">
        <v>0.1</v>
      </c>
      <c r="H188">
        <v>0.4</v>
      </c>
      <c r="I188">
        <v>0.7</v>
      </c>
      <c r="J188">
        <v>1.2</v>
      </c>
      <c r="K188">
        <v>1.4</v>
      </c>
      <c r="L188">
        <v>1.4</v>
      </c>
      <c r="M188">
        <v>1.5</v>
      </c>
      <c r="N188">
        <v>1.5</v>
      </c>
    </row>
    <row r="189" spans="3:14" x14ac:dyDescent="0.2">
      <c r="C189" t="s">
        <v>624</v>
      </c>
      <c r="D189">
        <v>458.3</v>
      </c>
      <c r="E189">
        <v>425.1</v>
      </c>
      <c r="F189">
        <v>470.3</v>
      </c>
      <c r="G189">
        <v>476</v>
      </c>
      <c r="H189">
        <v>476.7</v>
      </c>
      <c r="I189">
        <v>443.4</v>
      </c>
      <c r="J189">
        <v>407.1</v>
      </c>
      <c r="K189">
        <v>401.4</v>
      </c>
      <c r="L189">
        <v>404.3</v>
      </c>
      <c r="M189">
        <v>411.5</v>
      </c>
      <c r="N189">
        <v>415</v>
      </c>
    </row>
    <row r="190" spans="3:14" x14ac:dyDescent="0.2">
      <c r="C190" t="s">
        <v>625</v>
      </c>
      <c r="D190">
        <v>-26.5</v>
      </c>
      <c r="E190">
        <v>15.2</v>
      </c>
      <c r="F190">
        <v>7.4</v>
      </c>
      <c r="G190">
        <v>6.7</v>
      </c>
      <c r="H190">
        <v>12.3</v>
      </c>
      <c r="I190">
        <v>18.2</v>
      </c>
      <c r="J190">
        <v>22.2</v>
      </c>
      <c r="K190">
        <v>1.3</v>
      </c>
      <c r="L190">
        <v>2.2999999999999998</v>
      </c>
      <c r="M190">
        <v>0</v>
      </c>
      <c r="N190">
        <v>0</v>
      </c>
    </row>
    <row r="191" spans="3:14" x14ac:dyDescent="0.2">
      <c r="C191" t="s">
        <v>626</v>
      </c>
      <c r="D191">
        <v>-7.5</v>
      </c>
      <c r="E191">
        <v>-8.1999999999999993</v>
      </c>
      <c r="F191">
        <v>-9.5</v>
      </c>
      <c r="G191">
        <v>-13.8</v>
      </c>
      <c r="H191">
        <v>-17.2</v>
      </c>
      <c r="I191">
        <v>-20</v>
      </c>
      <c r="J191">
        <v>-22.4</v>
      </c>
      <c r="K191">
        <v>-21.3</v>
      </c>
      <c r="L191">
        <v>-20.7</v>
      </c>
      <c r="M191">
        <v>-20.5</v>
      </c>
      <c r="N191">
        <v>-20.2</v>
      </c>
    </row>
    <row r="192" spans="3:14" x14ac:dyDescent="0.2">
      <c r="C192" t="s">
        <v>627</v>
      </c>
      <c r="D192">
        <v>424.3</v>
      </c>
      <c r="E192">
        <v>432.2</v>
      </c>
      <c r="F192">
        <v>468.1</v>
      </c>
      <c r="G192">
        <v>468.8</v>
      </c>
      <c r="H192">
        <v>471.9</v>
      </c>
      <c r="I192">
        <v>441.6</v>
      </c>
      <c r="J192">
        <v>406.9</v>
      </c>
      <c r="K192">
        <v>381.4</v>
      </c>
      <c r="L192">
        <v>385.9</v>
      </c>
      <c r="M192">
        <v>391</v>
      </c>
      <c r="N192">
        <v>394.8</v>
      </c>
    </row>
    <row r="193" spans="2:14" x14ac:dyDescent="0.2">
      <c r="C193" t="s">
        <v>628</v>
      </c>
      <c r="D193" s="75">
        <v>0.60099999999999998</v>
      </c>
      <c r="E193" s="75">
        <v>0.58099999999999996</v>
      </c>
      <c r="F193" s="75">
        <v>0.59499999999999997</v>
      </c>
      <c r="G193" s="75">
        <v>0.58499999999999996</v>
      </c>
      <c r="H193" s="75">
        <v>0.55700000000000005</v>
      </c>
      <c r="I193" s="75">
        <v>0.51200000000000001</v>
      </c>
      <c r="J193" s="75">
        <v>0.45600000000000002</v>
      </c>
      <c r="K193" s="75">
        <v>0.436</v>
      </c>
      <c r="L193" s="75">
        <v>0.43</v>
      </c>
      <c r="M193" s="75">
        <v>0.435</v>
      </c>
      <c r="N193" s="75">
        <v>0.43099999999999999</v>
      </c>
    </row>
    <row r="197" spans="2:14" s="2" customFormat="1" ht="15" x14ac:dyDescent="0.25">
      <c r="C197" s="9" t="s">
        <v>629</v>
      </c>
      <c r="D197" s="2" t="s">
        <v>630</v>
      </c>
    </row>
    <row r="198" spans="2:14" s="2" customFormat="1" ht="15" x14ac:dyDescent="0.25">
      <c r="B198" s="2" t="s">
        <v>631</v>
      </c>
    </row>
    <row r="199" spans="2:14" s="2" customFormat="1" ht="15" x14ac:dyDescent="0.25">
      <c r="B199" s="13" t="s">
        <v>567</v>
      </c>
      <c r="D199" s="2">
        <v>2000</v>
      </c>
      <c r="E199" s="2">
        <v>2005</v>
      </c>
      <c r="F199" s="2">
        <v>2010</v>
      </c>
      <c r="G199" s="2">
        <v>2015</v>
      </c>
      <c r="H199" s="2">
        <v>2020</v>
      </c>
      <c r="I199" s="2">
        <v>2025</v>
      </c>
      <c r="J199" s="2">
        <v>2030</v>
      </c>
      <c r="K199" s="2">
        <v>2035</v>
      </c>
      <c r="L199" s="2">
        <v>2040</v>
      </c>
      <c r="M199" s="2">
        <v>2045</v>
      </c>
      <c r="N199" s="2">
        <v>2050</v>
      </c>
    </row>
    <row r="200" spans="2:14" x14ac:dyDescent="0.2">
      <c r="C200" t="s">
        <v>568</v>
      </c>
      <c r="D200">
        <v>38.380000000000003</v>
      </c>
      <c r="E200">
        <v>34.340000000000003</v>
      </c>
      <c r="F200">
        <v>35.42</v>
      </c>
      <c r="G200">
        <v>39</v>
      </c>
      <c r="H200">
        <v>41.96</v>
      </c>
      <c r="I200">
        <v>42.35</v>
      </c>
      <c r="J200">
        <v>42.67</v>
      </c>
      <c r="K200">
        <v>43.02</v>
      </c>
      <c r="L200">
        <v>43.44</v>
      </c>
      <c r="M200">
        <v>43.82</v>
      </c>
      <c r="N200">
        <v>44.15</v>
      </c>
    </row>
    <row r="201" spans="2:14" x14ac:dyDescent="0.2">
      <c r="C201" t="s">
        <v>602</v>
      </c>
      <c r="D201">
        <v>38.380000000000003</v>
      </c>
      <c r="E201">
        <v>34.340000000000003</v>
      </c>
      <c r="F201">
        <v>35.42</v>
      </c>
      <c r="G201">
        <v>36.950000000000003</v>
      </c>
      <c r="H201">
        <v>36.869999999999997</v>
      </c>
      <c r="I201">
        <v>36.83</v>
      </c>
      <c r="J201">
        <v>36.75</v>
      </c>
      <c r="K201">
        <v>36.54</v>
      </c>
      <c r="L201">
        <v>36.409999999999997</v>
      </c>
      <c r="M201">
        <v>35.85</v>
      </c>
      <c r="N201">
        <v>35.57</v>
      </c>
    </row>
    <row r="202" spans="2:14" x14ac:dyDescent="0.2">
      <c r="C202" t="s">
        <v>603</v>
      </c>
      <c r="D202" t="s">
        <v>3</v>
      </c>
      <c r="E202" t="s">
        <v>3</v>
      </c>
      <c r="F202" t="s">
        <v>3</v>
      </c>
      <c r="G202">
        <v>2.0499999999999998</v>
      </c>
      <c r="H202">
        <v>5.09</v>
      </c>
      <c r="I202">
        <v>5.52</v>
      </c>
      <c r="J202">
        <v>5.91</v>
      </c>
      <c r="K202">
        <v>6.48</v>
      </c>
      <c r="L202">
        <v>7.02</v>
      </c>
      <c r="M202">
        <v>7.96</v>
      </c>
      <c r="N202">
        <v>8.57</v>
      </c>
    </row>
    <row r="203" spans="2:14" x14ac:dyDescent="0.2">
      <c r="C203" t="s">
        <v>571</v>
      </c>
      <c r="D203">
        <v>24.73</v>
      </c>
      <c r="E203">
        <v>21.9</v>
      </c>
      <c r="F203">
        <v>25.13</v>
      </c>
      <c r="G203">
        <v>24.58</v>
      </c>
      <c r="H203">
        <v>21.68</v>
      </c>
      <c r="I203">
        <v>15.98</v>
      </c>
      <c r="J203">
        <v>8.81</v>
      </c>
      <c r="K203" t="s">
        <v>572</v>
      </c>
      <c r="L203" t="s">
        <v>3</v>
      </c>
      <c r="M203" t="s">
        <v>3</v>
      </c>
      <c r="N203" t="s">
        <v>3</v>
      </c>
    </row>
    <row r="204" spans="2:14" x14ac:dyDescent="0.2">
      <c r="C204" t="s">
        <v>604</v>
      </c>
      <c r="D204">
        <v>1.79</v>
      </c>
      <c r="E204">
        <v>2.0699999999999998</v>
      </c>
      <c r="F204">
        <v>2.1800000000000002</v>
      </c>
      <c r="G204">
        <v>2.7</v>
      </c>
      <c r="H204">
        <v>4.7300000000000004</v>
      </c>
      <c r="I204">
        <v>8.02</v>
      </c>
      <c r="J204">
        <v>11.16</v>
      </c>
      <c r="K204">
        <v>22.24</v>
      </c>
      <c r="L204">
        <v>18.86</v>
      </c>
      <c r="M204">
        <v>16.37</v>
      </c>
      <c r="N204">
        <v>15.56</v>
      </c>
    </row>
    <row r="205" spans="2:14" x14ac:dyDescent="0.2">
      <c r="C205" t="s">
        <v>605</v>
      </c>
      <c r="D205">
        <v>1.79</v>
      </c>
      <c r="E205">
        <v>2.0699999999999998</v>
      </c>
      <c r="F205">
        <v>2.1800000000000002</v>
      </c>
      <c r="G205">
        <v>1.76</v>
      </c>
      <c r="H205">
        <v>1.48</v>
      </c>
      <c r="I205">
        <v>0.92</v>
      </c>
      <c r="J205">
        <v>0.57999999999999996</v>
      </c>
      <c r="K205">
        <v>0.32</v>
      </c>
      <c r="L205" t="s">
        <v>572</v>
      </c>
      <c r="M205" t="s">
        <v>3</v>
      </c>
      <c r="N205" t="s">
        <v>3</v>
      </c>
    </row>
    <row r="206" spans="2:14" x14ac:dyDescent="0.2">
      <c r="C206" t="s">
        <v>606</v>
      </c>
      <c r="D206" t="s">
        <v>572</v>
      </c>
      <c r="E206" t="s">
        <v>572</v>
      </c>
      <c r="F206" t="s">
        <v>3</v>
      </c>
      <c r="G206" t="s">
        <v>3</v>
      </c>
      <c r="H206">
        <v>1.6</v>
      </c>
      <c r="I206">
        <v>4.6399999999999997</v>
      </c>
      <c r="J206">
        <v>7.54</v>
      </c>
      <c r="K206">
        <v>18.66</v>
      </c>
      <c r="L206">
        <v>15.42</v>
      </c>
      <c r="M206">
        <v>12.92</v>
      </c>
      <c r="N206">
        <v>12.1</v>
      </c>
    </row>
    <row r="207" spans="2:14" x14ac:dyDescent="0.2">
      <c r="C207" t="s">
        <v>607</v>
      </c>
      <c r="D207" t="s">
        <v>3</v>
      </c>
      <c r="E207" t="s">
        <v>3</v>
      </c>
      <c r="F207" t="s">
        <v>3</v>
      </c>
      <c r="G207">
        <v>0.94</v>
      </c>
      <c r="H207">
        <v>1.65</v>
      </c>
      <c r="I207">
        <v>2.4700000000000002</v>
      </c>
      <c r="J207">
        <v>3.04</v>
      </c>
      <c r="K207">
        <v>3.26</v>
      </c>
      <c r="L207">
        <v>3.44</v>
      </c>
      <c r="M207">
        <v>3.45</v>
      </c>
      <c r="N207">
        <v>3.45</v>
      </c>
    </row>
    <row r="208" spans="2:14" x14ac:dyDescent="0.2">
      <c r="C208" t="s">
        <v>608</v>
      </c>
      <c r="D208">
        <v>0.81</v>
      </c>
      <c r="E208">
        <v>1.01</v>
      </c>
      <c r="F208">
        <v>1.38</v>
      </c>
      <c r="G208">
        <v>2.36</v>
      </c>
      <c r="H208">
        <v>3.68</v>
      </c>
      <c r="I208">
        <v>5.66</v>
      </c>
      <c r="J208">
        <v>8.24</v>
      </c>
      <c r="K208">
        <v>11.94</v>
      </c>
      <c r="L208">
        <v>16.149999999999999</v>
      </c>
      <c r="M208">
        <v>20.57</v>
      </c>
      <c r="N208">
        <v>24.22</v>
      </c>
    </row>
    <row r="209" spans="3:14" x14ac:dyDescent="0.2">
      <c r="C209" t="s">
        <v>609</v>
      </c>
      <c r="D209">
        <v>0.81</v>
      </c>
      <c r="E209">
        <v>1.01</v>
      </c>
      <c r="F209">
        <v>1.38</v>
      </c>
      <c r="G209">
        <v>1.03</v>
      </c>
      <c r="H209">
        <v>0.92</v>
      </c>
      <c r="I209">
        <v>0.7</v>
      </c>
      <c r="J209">
        <v>0.4</v>
      </c>
      <c r="K209">
        <v>0.1</v>
      </c>
      <c r="L209">
        <v>0.01</v>
      </c>
      <c r="M209" t="s">
        <v>572</v>
      </c>
      <c r="N209" t="s">
        <v>572</v>
      </c>
    </row>
    <row r="210" spans="3:14" x14ac:dyDescent="0.2">
      <c r="C210" t="s">
        <v>610</v>
      </c>
      <c r="D210" t="s">
        <v>572</v>
      </c>
      <c r="E210" t="s">
        <v>3</v>
      </c>
      <c r="F210" t="s">
        <v>3</v>
      </c>
      <c r="G210">
        <v>1.34</v>
      </c>
      <c r="H210">
        <v>2.77</v>
      </c>
      <c r="I210">
        <v>4.95</v>
      </c>
      <c r="J210">
        <v>7.84</v>
      </c>
      <c r="K210">
        <v>11.84</v>
      </c>
      <c r="L210">
        <v>16.14</v>
      </c>
      <c r="M210">
        <v>20.57</v>
      </c>
      <c r="N210">
        <v>24.22</v>
      </c>
    </row>
    <row r="211" spans="3:14" x14ac:dyDescent="0.2">
      <c r="C211" t="s">
        <v>580</v>
      </c>
      <c r="D211">
        <v>0.01</v>
      </c>
      <c r="E211">
        <v>0.02</v>
      </c>
      <c r="F211">
        <v>0.08</v>
      </c>
      <c r="G211">
        <v>0.28000000000000003</v>
      </c>
      <c r="H211">
        <v>0.52</v>
      </c>
      <c r="I211">
        <v>0.98</v>
      </c>
      <c r="J211">
        <v>1.91</v>
      </c>
      <c r="K211">
        <v>4.4400000000000004</v>
      </c>
      <c r="L211">
        <v>6.74</v>
      </c>
      <c r="M211">
        <v>9.23</v>
      </c>
      <c r="N211">
        <v>11.12</v>
      </c>
    </row>
    <row r="212" spans="3:14" x14ac:dyDescent="0.2">
      <c r="C212" t="s">
        <v>581</v>
      </c>
      <c r="D212">
        <v>0</v>
      </c>
      <c r="E212">
        <v>0.01</v>
      </c>
      <c r="F212">
        <v>0.04</v>
      </c>
      <c r="G212">
        <v>0.35</v>
      </c>
      <c r="H212">
        <v>0.66</v>
      </c>
      <c r="I212">
        <v>0.99</v>
      </c>
      <c r="J212">
        <v>1.46</v>
      </c>
      <c r="K212">
        <v>1.76</v>
      </c>
      <c r="L212">
        <v>2.59</v>
      </c>
      <c r="M212">
        <v>3.43</v>
      </c>
      <c r="N212">
        <v>4.26</v>
      </c>
    </row>
    <row r="213" spans="3:14" x14ac:dyDescent="0.2">
      <c r="C213" t="s">
        <v>582</v>
      </c>
      <c r="D213" t="s">
        <v>572</v>
      </c>
      <c r="E213" t="s">
        <v>572</v>
      </c>
      <c r="F213" t="s">
        <v>3</v>
      </c>
      <c r="G213" t="s">
        <v>3</v>
      </c>
      <c r="H213" t="s">
        <v>3</v>
      </c>
      <c r="I213" t="s">
        <v>3</v>
      </c>
      <c r="J213" t="s">
        <v>3</v>
      </c>
      <c r="K213" t="s">
        <v>3</v>
      </c>
      <c r="L213" t="s">
        <v>3</v>
      </c>
      <c r="M213" t="s">
        <v>3</v>
      </c>
      <c r="N213" t="s">
        <v>3</v>
      </c>
    </row>
    <row r="214" spans="3:14" x14ac:dyDescent="0.2">
      <c r="C214" t="s">
        <v>47</v>
      </c>
      <c r="D214" t="s">
        <v>572</v>
      </c>
      <c r="E214" t="s">
        <v>572</v>
      </c>
      <c r="F214" t="s">
        <v>3</v>
      </c>
      <c r="G214">
        <v>0.1</v>
      </c>
      <c r="H214">
        <v>0.2</v>
      </c>
      <c r="I214">
        <v>0.39</v>
      </c>
      <c r="J214">
        <v>0.78</v>
      </c>
      <c r="K214">
        <v>1.43</v>
      </c>
      <c r="L214">
        <v>2.41</v>
      </c>
      <c r="M214">
        <v>3.48</v>
      </c>
      <c r="N214">
        <v>4.3899999999999997</v>
      </c>
    </row>
    <row r="215" spans="3:14" x14ac:dyDescent="0.2">
      <c r="C215" t="s">
        <v>583</v>
      </c>
      <c r="D215">
        <v>0.01</v>
      </c>
      <c r="E215">
        <v>0.03</v>
      </c>
      <c r="F215">
        <v>0.14000000000000001</v>
      </c>
      <c r="G215">
        <v>0.33</v>
      </c>
      <c r="H215">
        <v>0.6</v>
      </c>
      <c r="I215">
        <v>0.97</v>
      </c>
      <c r="J215">
        <v>1.21</v>
      </c>
      <c r="K215">
        <v>1.21</v>
      </c>
      <c r="L215">
        <v>1.23</v>
      </c>
      <c r="M215">
        <v>1.23</v>
      </c>
      <c r="N215">
        <v>1.24</v>
      </c>
    </row>
    <row r="216" spans="3:14" x14ac:dyDescent="0.2">
      <c r="C216" t="s">
        <v>584</v>
      </c>
      <c r="D216">
        <v>0.01</v>
      </c>
      <c r="E216">
        <v>0.02</v>
      </c>
      <c r="F216">
        <v>0.08</v>
      </c>
      <c r="G216">
        <v>0.21</v>
      </c>
      <c r="H216">
        <v>0.46</v>
      </c>
      <c r="I216">
        <v>0.88</v>
      </c>
      <c r="J216">
        <v>1.29</v>
      </c>
      <c r="K216">
        <v>1.48</v>
      </c>
      <c r="L216">
        <v>1.55</v>
      </c>
      <c r="M216">
        <v>1.58</v>
      </c>
      <c r="N216">
        <v>1.58</v>
      </c>
    </row>
    <row r="217" spans="3:14" x14ac:dyDescent="0.2">
      <c r="C217" t="s">
        <v>585</v>
      </c>
      <c r="D217">
        <v>0.09</v>
      </c>
      <c r="E217">
        <v>0.11</v>
      </c>
      <c r="F217">
        <v>0.12</v>
      </c>
      <c r="G217">
        <v>0.1</v>
      </c>
      <c r="H217">
        <v>0.16</v>
      </c>
      <c r="I217">
        <v>0.22</v>
      </c>
      <c r="J217">
        <v>0.27</v>
      </c>
      <c r="K217">
        <v>0.28999999999999998</v>
      </c>
      <c r="L217">
        <v>0.28999999999999998</v>
      </c>
      <c r="M217">
        <v>0.3</v>
      </c>
      <c r="N217">
        <v>0.3</v>
      </c>
    </row>
    <row r="218" spans="3:14" x14ac:dyDescent="0.2">
      <c r="C218" t="s">
        <v>586</v>
      </c>
      <c r="D218">
        <v>0.63</v>
      </c>
      <c r="E218">
        <v>0.8</v>
      </c>
      <c r="F218">
        <v>0.92</v>
      </c>
      <c r="G218">
        <v>0.99</v>
      </c>
      <c r="H218">
        <v>1.1000000000000001</v>
      </c>
      <c r="I218">
        <v>1.23</v>
      </c>
      <c r="J218">
        <v>1.32</v>
      </c>
      <c r="K218">
        <v>1.32</v>
      </c>
      <c r="L218">
        <v>1.33</v>
      </c>
      <c r="M218">
        <v>1.33</v>
      </c>
      <c r="N218">
        <v>1.33</v>
      </c>
    </row>
    <row r="219" spans="3:14" x14ac:dyDescent="0.2">
      <c r="C219" t="s">
        <v>587</v>
      </c>
      <c r="D219">
        <v>0.04</v>
      </c>
      <c r="E219">
        <v>0.02</v>
      </c>
      <c r="F219">
        <v>0</v>
      </c>
      <c r="G219">
        <v>0.01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</row>
    <row r="220" spans="3:14" x14ac:dyDescent="0.2">
      <c r="C220" t="s">
        <v>588</v>
      </c>
      <c r="D220" s="20">
        <f t="shared" ref="D220:J220" si="21">D200+D203+D204+D208</f>
        <v>65.710000000000008</v>
      </c>
      <c r="E220" s="20">
        <f t="shared" si="21"/>
        <v>59.32</v>
      </c>
      <c r="F220" s="20">
        <f t="shared" si="21"/>
        <v>64.11</v>
      </c>
      <c r="G220" s="20">
        <f t="shared" si="21"/>
        <v>68.64</v>
      </c>
      <c r="H220" s="20">
        <f t="shared" si="21"/>
        <v>72.050000000000011</v>
      </c>
      <c r="I220" s="20">
        <f t="shared" si="21"/>
        <v>72.009999999999991</v>
      </c>
      <c r="J220" s="20">
        <f t="shared" si="21"/>
        <v>70.88</v>
      </c>
      <c r="K220" s="20">
        <f>K200+K204+K208</f>
        <v>77.2</v>
      </c>
      <c r="L220" s="20">
        <f>L200+L204+L208</f>
        <v>78.449999999999989</v>
      </c>
      <c r="M220" s="20">
        <f>M200+M204+M208</f>
        <v>80.759999999999991</v>
      </c>
      <c r="N220" s="20">
        <f>N200+N204+N208</f>
        <v>83.93</v>
      </c>
    </row>
    <row r="221" spans="3:14" x14ac:dyDescent="0.2">
      <c r="C221" t="s">
        <v>611</v>
      </c>
      <c r="D221">
        <v>-2.2200000000000002</v>
      </c>
      <c r="E221">
        <v>-2.2200000000000002</v>
      </c>
      <c r="F221">
        <v>-2.56</v>
      </c>
      <c r="G221">
        <v>-4.34</v>
      </c>
      <c r="H221">
        <v>-7.54</v>
      </c>
      <c r="I221">
        <v>-7.54</v>
      </c>
      <c r="J221">
        <v>-7.54</v>
      </c>
      <c r="K221">
        <v>-7.54</v>
      </c>
      <c r="L221">
        <v>-7.54</v>
      </c>
      <c r="M221">
        <v>-7.54</v>
      </c>
      <c r="N221">
        <v>-7.54</v>
      </c>
    </row>
    <row r="222" spans="3:14" x14ac:dyDescent="0.2">
      <c r="C222" s="14" t="s">
        <v>590</v>
      </c>
      <c r="D222" s="32">
        <f>D220+D221</f>
        <v>63.490000000000009</v>
      </c>
      <c r="E222" s="32">
        <f t="shared" ref="E222:N222" si="22">E220+E221</f>
        <v>57.1</v>
      </c>
      <c r="F222" s="32">
        <f t="shared" si="22"/>
        <v>61.55</v>
      </c>
      <c r="G222" s="32">
        <f t="shared" si="22"/>
        <v>64.3</v>
      </c>
      <c r="H222" s="32">
        <f t="shared" si="22"/>
        <v>64.510000000000005</v>
      </c>
      <c r="I222" s="32">
        <f t="shared" si="22"/>
        <v>64.469999999999985</v>
      </c>
      <c r="J222" s="32">
        <f t="shared" si="22"/>
        <v>63.339999999999996</v>
      </c>
      <c r="K222" s="32">
        <f t="shared" si="22"/>
        <v>69.66</v>
      </c>
      <c r="L222" s="32">
        <f t="shared" si="22"/>
        <v>70.909999999999982</v>
      </c>
      <c r="M222" s="32">
        <f t="shared" si="22"/>
        <v>73.219999999999985</v>
      </c>
      <c r="N222" s="32">
        <f t="shared" si="22"/>
        <v>76.39</v>
      </c>
    </row>
    <row r="223" spans="3:14" x14ac:dyDescent="0.2">
      <c r="C223" t="s">
        <v>591</v>
      </c>
      <c r="D223">
        <v>18.72</v>
      </c>
      <c r="E223">
        <v>17.98</v>
      </c>
      <c r="F223">
        <v>17.239999999999998</v>
      </c>
      <c r="G223">
        <v>17.239999999999998</v>
      </c>
      <c r="H223">
        <v>10.06</v>
      </c>
      <c r="I223">
        <v>8.42</v>
      </c>
      <c r="J223">
        <v>8.42</v>
      </c>
      <c r="K223">
        <v>2.61</v>
      </c>
      <c r="L223">
        <v>1.3</v>
      </c>
      <c r="M223" t="s">
        <v>3</v>
      </c>
      <c r="N223" t="s">
        <v>3</v>
      </c>
    </row>
    <row r="224" spans="3:14" x14ac:dyDescent="0.2">
      <c r="C224" t="s">
        <v>592</v>
      </c>
      <c r="D224">
        <v>18.72</v>
      </c>
      <c r="E224">
        <v>17.98</v>
      </c>
      <c r="F224">
        <v>17.239999999999998</v>
      </c>
      <c r="G224">
        <v>17.239999999999998</v>
      </c>
      <c r="H224">
        <v>10.06</v>
      </c>
      <c r="I224">
        <v>8.42</v>
      </c>
      <c r="J224">
        <v>8.42</v>
      </c>
      <c r="K224">
        <v>2.61</v>
      </c>
      <c r="L224">
        <v>1.3</v>
      </c>
      <c r="M224" t="s">
        <v>3</v>
      </c>
      <c r="N224" t="s">
        <v>572</v>
      </c>
    </row>
    <row r="225" spans="2:14" x14ac:dyDescent="0.2">
      <c r="C225" t="s">
        <v>593</v>
      </c>
      <c r="D225" t="s">
        <v>572</v>
      </c>
      <c r="E225" t="s">
        <v>3</v>
      </c>
      <c r="F225" t="s">
        <v>3</v>
      </c>
      <c r="G225" t="s">
        <v>3</v>
      </c>
      <c r="H225" t="s">
        <v>3</v>
      </c>
      <c r="I225" t="s">
        <v>3</v>
      </c>
      <c r="J225" t="s">
        <v>3</v>
      </c>
      <c r="K225" t="s">
        <v>572</v>
      </c>
      <c r="L225" t="s">
        <v>3</v>
      </c>
      <c r="M225" t="s">
        <v>3</v>
      </c>
      <c r="N225" t="s">
        <v>3</v>
      </c>
    </row>
    <row r="226" spans="2:14" x14ac:dyDescent="0.2">
      <c r="C226" t="s">
        <v>594</v>
      </c>
      <c r="D226">
        <v>26.07</v>
      </c>
      <c r="E226">
        <v>13.75</v>
      </c>
      <c r="F226">
        <v>15.19</v>
      </c>
      <c r="G226">
        <v>16.21</v>
      </c>
      <c r="H226">
        <v>7.6</v>
      </c>
      <c r="I226">
        <v>5.0599999999999996</v>
      </c>
      <c r="J226">
        <v>2.94</v>
      </c>
      <c r="K226">
        <v>2.2599999999999998</v>
      </c>
      <c r="L226">
        <v>0.66</v>
      </c>
      <c r="M226">
        <v>0.05</v>
      </c>
      <c r="N226">
        <v>1.59</v>
      </c>
    </row>
    <row r="227" spans="2:14" x14ac:dyDescent="0.2">
      <c r="C227" t="s">
        <v>612</v>
      </c>
      <c r="D227">
        <v>2.83</v>
      </c>
      <c r="E227">
        <v>2.2599999999999998</v>
      </c>
      <c r="F227">
        <v>2.2599999999999998</v>
      </c>
      <c r="G227">
        <v>2.2599999999999998</v>
      </c>
      <c r="H227">
        <v>2.2599999999999998</v>
      </c>
      <c r="I227">
        <v>2.2599999999999998</v>
      </c>
      <c r="J227">
        <v>2.2599999999999998</v>
      </c>
      <c r="K227">
        <v>2.2599999999999998</v>
      </c>
      <c r="L227">
        <v>0.66</v>
      </c>
      <c r="M227" t="s">
        <v>572</v>
      </c>
      <c r="N227" t="s">
        <v>3</v>
      </c>
    </row>
    <row r="228" spans="2:14" x14ac:dyDescent="0.2">
      <c r="C228" t="s">
        <v>596</v>
      </c>
      <c r="D228">
        <v>23.24</v>
      </c>
      <c r="E228">
        <v>11.49</v>
      </c>
      <c r="F228">
        <v>12.93</v>
      </c>
      <c r="G228">
        <v>13.95</v>
      </c>
      <c r="H228">
        <v>5.34</v>
      </c>
      <c r="I228">
        <v>2.8</v>
      </c>
      <c r="J228">
        <v>0.68</v>
      </c>
      <c r="K228" t="s">
        <v>572</v>
      </c>
      <c r="L228">
        <v>0</v>
      </c>
      <c r="M228">
        <v>0.05</v>
      </c>
      <c r="N228">
        <v>1.59</v>
      </c>
    </row>
    <row r="229" spans="2:14" x14ac:dyDescent="0.2">
      <c r="C229" s="14" t="s">
        <v>597</v>
      </c>
      <c r="D229" s="32">
        <f>D223-D226</f>
        <v>-7.3500000000000014</v>
      </c>
      <c r="E229" s="32">
        <f t="shared" ref="E229:L229" si="23">E223-E226</f>
        <v>4.2300000000000004</v>
      </c>
      <c r="F229" s="32">
        <f t="shared" si="23"/>
        <v>2.0499999999999989</v>
      </c>
      <c r="G229" s="32">
        <f t="shared" si="23"/>
        <v>1.0299999999999976</v>
      </c>
      <c r="H229" s="32">
        <f t="shared" si="23"/>
        <v>2.4600000000000009</v>
      </c>
      <c r="I229" s="32">
        <f t="shared" si="23"/>
        <v>3.3600000000000003</v>
      </c>
      <c r="J229" s="32">
        <f t="shared" si="23"/>
        <v>5.48</v>
      </c>
      <c r="K229" s="32">
        <f t="shared" si="23"/>
        <v>0.35000000000000009</v>
      </c>
      <c r="L229" s="32">
        <f t="shared" si="23"/>
        <v>0.64</v>
      </c>
      <c r="M229" s="32">
        <v>0</v>
      </c>
      <c r="N229" s="32">
        <v>0</v>
      </c>
    </row>
    <row r="230" spans="2:14" x14ac:dyDescent="0.2">
      <c r="C230" t="s">
        <v>598</v>
      </c>
      <c r="D230" s="20">
        <f>D222+D229</f>
        <v>56.140000000000008</v>
      </c>
      <c r="E230" s="20">
        <f t="shared" ref="E230:N230" si="24">E222+E229</f>
        <v>61.33</v>
      </c>
      <c r="F230" s="20">
        <f t="shared" si="24"/>
        <v>63.599999999999994</v>
      </c>
      <c r="G230" s="20">
        <f t="shared" si="24"/>
        <v>65.33</v>
      </c>
      <c r="H230" s="20">
        <f t="shared" si="24"/>
        <v>66.97</v>
      </c>
      <c r="I230" s="20">
        <f t="shared" si="24"/>
        <v>67.829999999999984</v>
      </c>
      <c r="J230" s="20">
        <f t="shared" si="24"/>
        <v>68.819999999999993</v>
      </c>
      <c r="K230" s="20">
        <f t="shared" si="24"/>
        <v>70.009999999999991</v>
      </c>
      <c r="L230" s="20">
        <f t="shared" si="24"/>
        <v>71.549999999999983</v>
      </c>
      <c r="M230" s="20">
        <f t="shared" si="24"/>
        <v>73.219999999999985</v>
      </c>
      <c r="N230" s="20">
        <f t="shared" si="24"/>
        <v>76.39</v>
      </c>
    </row>
    <row r="232" spans="2:14" x14ac:dyDescent="0.2">
      <c r="C232" t="s">
        <v>599</v>
      </c>
      <c r="D232">
        <v>61.18</v>
      </c>
      <c r="E232">
        <v>65.81</v>
      </c>
      <c r="F232">
        <v>68.41</v>
      </c>
      <c r="G232">
        <v>71.930000000000007</v>
      </c>
      <c r="H232">
        <v>76.77</v>
      </c>
      <c r="I232">
        <v>77.64</v>
      </c>
      <c r="J232">
        <v>78.61</v>
      </c>
      <c r="K232">
        <v>79.81</v>
      </c>
      <c r="L232">
        <v>79.75</v>
      </c>
      <c r="M232">
        <v>80.709999999999994</v>
      </c>
      <c r="N232">
        <v>82.34</v>
      </c>
    </row>
    <row r="237" spans="2:14" s="2" customFormat="1" ht="15" x14ac:dyDescent="0.25">
      <c r="C237" s="9" t="s">
        <v>632</v>
      </c>
      <c r="D237" s="2" t="s">
        <v>630</v>
      </c>
    </row>
    <row r="238" spans="2:14" s="2" customFormat="1" ht="15" x14ac:dyDescent="0.25">
      <c r="B238" s="2" t="s">
        <v>600</v>
      </c>
    </row>
    <row r="239" spans="2:14" s="2" customFormat="1" ht="15" x14ac:dyDescent="0.25">
      <c r="B239" s="13" t="s">
        <v>601</v>
      </c>
      <c r="D239" s="2">
        <v>2000</v>
      </c>
      <c r="E239" s="2">
        <v>2005</v>
      </c>
      <c r="F239" s="2">
        <v>2010</v>
      </c>
      <c r="G239" s="2">
        <v>2015</v>
      </c>
      <c r="H239" s="2">
        <v>2020</v>
      </c>
      <c r="I239" s="2">
        <v>2025</v>
      </c>
      <c r="J239" s="2">
        <v>2030</v>
      </c>
      <c r="K239" s="2">
        <v>2035</v>
      </c>
      <c r="L239" s="2">
        <v>2040</v>
      </c>
      <c r="M239" s="2">
        <v>2045</v>
      </c>
      <c r="N239" s="2">
        <v>2050</v>
      </c>
    </row>
    <row r="240" spans="2:14" x14ac:dyDescent="0.2">
      <c r="C240" t="s">
        <v>568</v>
      </c>
      <c r="D240">
        <v>17.71</v>
      </c>
      <c r="E240">
        <v>15.56</v>
      </c>
      <c r="F240">
        <v>14.16</v>
      </c>
      <c r="G240">
        <v>17.079999999999998</v>
      </c>
      <c r="H240">
        <v>18.98</v>
      </c>
      <c r="I240">
        <v>19.3</v>
      </c>
      <c r="J240">
        <v>19.59</v>
      </c>
      <c r="K240">
        <v>19.89</v>
      </c>
      <c r="L240">
        <v>20.22</v>
      </c>
      <c r="M240">
        <v>20.53</v>
      </c>
      <c r="N240">
        <v>20.86</v>
      </c>
    </row>
    <row r="241" spans="3:14" x14ac:dyDescent="0.2">
      <c r="C241" t="s">
        <v>633</v>
      </c>
      <c r="D241">
        <v>17.71</v>
      </c>
      <c r="E241">
        <v>15.56</v>
      </c>
      <c r="F241">
        <v>14.16</v>
      </c>
      <c r="G241">
        <v>15.95</v>
      </c>
      <c r="H241">
        <v>16.09</v>
      </c>
      <c r="I241">
        <v>16.239999999999998</v>
      </c>
      <c r="J241">
        <v>16.39</v>
      </c>
      <c r="K241">
        <v>16.47</v>
      </c>
      <c r="L241">
        <v>16.59</v>
      </c>
      <c r="M241">
        <v>16.53</v>
      </c>
      <c r="N241">
        <v>16.63</v>
      </c>
    </row>
    <row r="242" spans="3:14" x14ac:dyDescent="0.2">
      <c r="C242" t="s">
        <v>603</v>
      </c>
      <c r="D242" t="s">
        <v>3</v>
      </c>
      <c r="E242" t="s">
        <v>3</v>
      </c>
      <c r="F242" t="s">
        <v>3</v>
      </c>
      <c r="G242">
        <v>1.1299999999999999</v>
      </c>
      <c r="H242">
        <v>2.89</v>
      </c>
      <c r="I242">
        <v>3.05</v>
      </c>
      <c r="J242">
        <v>3.2</v>
      </c>
      <c r="K242">
        <v>3.42</v>
      </c>
      <c r="L242">
        <v>3.62</v>
      </c>
      <c r="M242">
        <v>4</v>
      </c>
      <c r="N242">
        <v>4.2300000000000004</v>
      </c>
    </row>
    <row r="243" spans="3:14" x14ac:dyDescent="0.2">
      <c r="C243" t="s">
        <v>571</v>
      </c>
      <c r="D243">
        <v>13.72</v>
      </c>
      <c r="E243">
        <v>13.94</v>
      </c>
      <c r="F243">
        <v>14.17</v>
      </c>
      <c r="G243">
        <v>13.5</v>
      </c>
      <c r="H243">
        <v>11.91</v>
      </c>
      <c r="I243">
        <v>8.7799999999999994</v>
      </c>
      <c r="J243">
        <v>4.84</v>
      </c>
      <c r="K243" t="s">
        <v>572</v>
      </c>
      <c r="L243" t="s">
        <v>3</v>
      </c>
      <c r="M243" t="s">
        <v>3</v>
      </c>
      <c r="N243" t="s">
        <v>3</v>
      </c>
    </row>
    <row r="244" spans="3:14" x14ac:dyDescent="0.2">
      <c r="C244" t="s">
        <v>604</v>
      </c>
      <c r="D244">
        <v>1.1100000000000001</v>
      </c>
      <c r="E244">
        <v>1.25</v>
      </c>
      <c r="F244">
        <v>1.3</v>
      </c>
      <c r="G244">
        <v>1.63</v>
      </c>
      <c r="H244">
        <v>3.5</v>
      </c>
      <c r="I244">
        <v>6.72</v>
      </c>
      <c r="J244">
        <v>9.77</v>
      </c>
      <c r="K244">
        <v>16.89</v>
      </c>
      <c r="L244">
        <v>15.77</v>
      </c>
      <c r="M244">
        <v>15.06</v>
      </c>
      <c r="N244">
        <v>14.24</v>
      </c>
    </row>
    <row r="245" spans="3:14" x14ac:dyDescent="0.2">
      <c r="C245" t="s">
        <v>605</v>
      </c>
      <c r="D245">
        <v>1.1100000000000001</v>
      </c>
      <c r="E245">
        <v>1.25</v>
      </c>
      <c r="F245">
        <v>1.3</v>
      </c>
      <c r="G245">
        <v>1.05</v>
      </c>
      <c r="H245">
        <v>0.86</v>
      </c>
      <c r="I245">
        <v>0.53</v>
      </c>
      <c r="J245">
        <v>0.34</v>
      </c>
      <c r="K245">
        <v>0.18</v>
      </c>
      <c r="L245" t="s">
        <v>572</v>
      </c>
      <c r="M245" t="s">
        <v>3</v>
      </c>
      <c r="N245" t="s">
        <v>3</v>
      </c>
    </row>
    <row r="246" spans="3:14" x14ac:dyDescent="0.2">
      <c r="C246" t="s">
        <v>606</v>
      </c>
      <c r="D246" t="s">
        <v>572</v>
      </c>
      <c r="E246" t="s">
        <v>572</v>
      </c>
      <c r="F246" t="s">
        <v>3</v>
      </c>
      <c r="G246" t="s">
        <v>3</v>
      </c>
      <c r="H246">
        <v>1.6</v>
      </c>
      <c r="I246">
        <v>4.6399999999999997</v>
      </c>
      <c r="J246">
        <v>7.54</v>
      </c>
      <c r="K246">
        <v>14.68</v>
      </c>
      <c r="L246">
        <v>13.64</v>
      </c>
      <c r="M246">
        <v>12.92</v>
      </c>
      <c r="N246">
        <v>12.1</v>
      </c>
    </row>
    <row r="247" spans="3:14" x14ac:dyDescent="0.2">
      <c r="C247" t="s">
        <v>607</v>
      </c>
      <c r="D247" t="s">
        <v>572</v>
      </c>
      <c r="E247" t="s">
        <v>572</v>
      </c>
      <c r="F247" t="s">
        <v>3</v>
      </c>
      <c r="G247">
        <v>0.57999999999999996</v>
      </c>
      <c r="H247">
        <v>1.04</v>
      </c>
      <c r="I247">
        <v>1.55</v>
      </c>
      <c r="J247">
        <v>1.9</v>
      </c>
      <c r="K247">
        <v>2.0299999999999998</v>
      </c>
      <c r="L247">
        <v>2.13</v>
      </c>
      <c r="M247">
        <v>2.14</v>
      </c>
      <c r="N247">
        <v>2.14</v>
      </c>
    </row>
    <row r="248" spans="3:14" x14ac:dyDescent="0.2">
      <c r="C248" t="s">
        <v>608</v>
      </c>
      <c r="D248">
        <v>0.45</v>
      </c>
      <c r="E248">
        <v>0.55000000000000004</v>
      </c>
      <c r="F248">
        <v>0.76</v>
      </c>
      <c r="G248">
        <v>1.3</v>
      </c>
      <c r="H248">
        <v>2.02</v>
      </c>
      <c r="I248">
        <v>3.06</v>
      </c>
      <c r="J248">
        <v>4.28</v>
      </c>
      <c r="K248">
        <v>5.6</v>
      </c>
      <c r="L248">
        <v>7.27</v>
      </c>
      <c r="M248">
        <v>8.99</v>
      </c>
      <c r="N248">
        <v>10.47</v>
      </c>
    </row>
    <row r="249" spans="3:14" x14ac:dyDescent="0.2">
      <c r="C249" t="s">
        <v>609</v>
      </c>
      <c r="D249">
        <v>0.45</v>
      </c>
      <c r="E249">
        <v>0.55000000000000004</v>
      </c>
      <c r="F249">
        <v>0.76</v>
      </c>
      <c r="G249">
        <v>0.56000000000000005</v>
      </c>
      <c r="H249">
        <v>0.5</v>
      </c>
      <c r="I249">
        <v>0.38</v>
      </c>
      <c r="J249">
        <v>0.21</v>
      </c>
      <c r="K249">
        <v>0.05</v>
      </c>
      <c r="L249">
        <v>0</v>
      </c>
      <c r="M249" t="s">
        <v>3</v>
      </c>
      <c r="N249" t="s">
        <v>3</v>
      </c>
    </row>
    <row r="250" spans="3:14" x14ac:dyDescent="0.2">
      <c r="C250" t="s">
        <v>610</v>
      </c>
      <c r="D250" t="s">
        <v>572</v>
      </c>
      <c r="E250" t="s">
        <v>3</v>
      </c>
      <c r="F250" t="s">
        <v>3</v>
      </c>
      <c r="G250">
        <v>0.74</v>
      </c>
      <c r="H250">
        <v>1.52</v>
      </c>
      <c r="I250">
        <v>2.68</v>
      </c>
      <c r="J250">
        <v>4.07</v>
      </c>
      <c r="K250">
        <v>5.54</v>
      </c>
      <c r="L250">
        <v>7.26</v>
      </c>
      <c r="M250">
        <v>8.99</v>
      </c>
      <c r="N250">
        <v>10.47</v>
      </c>
    </row>
    <row r="251" spans="3:14" x14ac:dyDescent="0.2">
      <c r="C251" t="s">
        <v>580</v>
      </c>
      <c r="D251">
        <v>0</v>
      </c>
      <c r="E251">
        <v>0.01</v>
      </c>
      <c r="F251">
        <v>0.02</v>
      </c>
      <c r="G251">
        <v>0.08</v>
      </c>
      <c r="H251">
        <v>0.14000000000000001</v>
      </c>
      <c r="I251">
        <v>0.26</v>
      </c>
      <c r="J251">
        <v>0.52</v>
      </c>
      <c r="K251">
        <v>1.2</v>
      </c>
      <c r="L251">
        <v>1.82</v>
      </c>
      <c r="M251">
        <v>2.4900000000000002</v>
      </c>
      <c r="N251">
        <v>3</v>
      </c>
    </row>
    <row r="252" spans="3:14" x14ac:dyDescent="0.2">
      <c r="C252" t="s">
        <v>581</v>
      </c>
      <c r="D252">
        <v>0</v>
      </c>
      <c r="E252">
        <v>0.01</v>
      </c>
      <c r="F252">
        <v>0.02</v>
      </c>
      <c r="G252">
        <v>0.21</v>
      </c>
      <c r="H252">
        <v>0.4</v>
      </c>
      <c r="I252">
        <v>0.59</v>
      </c>
      <c r="J252">
        <v>0.88</v>
      </c>
      <c r="K252">
        <v>1.06</v>
      </c>
      <c r="L252">
        <v>1.56</v>
      </c>
      <c r="M252">
        <v>2.06</v>
      </c>
      <c r="N252">
        <v>2.56</v>
      </c>
    </row>
    <row r="253" spans="3:14" x14ac:dyDescent="0.2">
      <c r="C253" t="s">
        <v>582</v>
      </c>
      <c r="D253" t="s">
        <v>572</v>
      </c>
      <c r="E253" t="s">
        <v>572</v>
      </c>
      <c r="F253" t="s">
        <v>3</v>
      </c>
      <c r="G253" t="s">
        <v>3</v>
      </c>
      <c r="H253" t="s">
        <v>3</v>
      </c>
      <c r="I253" t="s">
        <v>3</v>
      </c>
      <c r="J253" t="s">
        <v>3</v>
      </c>
      <c r="K253" t="s">
        <v>3</v>
      </c>
      <c r="L253" t="s">
        <v>3</v>
      </c>
      <c r="M253" t="s">
        <v>3</v>
      </c>
      <c r="N253" t="s">
        <v>3</v>
      </c>
    </row>
    <row r="254" spans="3:14" x14ac:dyDescent="0.2">
      <c r="C254" t="s">
        <v>47</v>
      </c>
      <c r="D254" t="s">
        <v>572</v>
      </c>
      <c r="E254" t="s">
        <v>572</v>
      </c>
      <c r="F254" t="s">
        <v>3</v>
      </c>
      <c r="G254">
        <v>0.05</v>
      </c>
      <c r="H254">
        <v>0.1</v>
      </c>
      <c r="I254">
        <v>0.2</v>
      </c>
      <c r="J254">
        <v>0.39</v>
      </c>
      <c r="K254">
        <v>0.72</v>
      </c>
      <c r="L254">
        <v>1.2</v>
      </c>
      <c r="M254">
        <v>1.74</v>
      </c>
      <c r="N254">
        <v>2.19</v>
      </c>
    </row>
    <row r="255" spans="3:14" x14ac:dyDescent="0.2">
      <c r="C255" t="s">
        <v>583</v>
      </c>
      <c r="D255">
        <v>0.01</v>
      </c>
      <c r="E255">
        <v>0.02</v>
      </c>
      <c r="F255">
        <v>0.09</v>
      </c>
      <c r="G255">
        <v>0.23</v>
      </c>
      <c r="H255">
        <v>0.41</v>
      </c>
      <c r="I255">
        <v>0.66</v>
      </c>
      <c r="J255">
        <v>0.82</v>
      </c>
      <c r="K255">
        <v>0.82</v>
      </c>
      <c r="L255">
        <v>0.83</v>
      </c>
      <c r="M255">
        <v>0.83</v>
      </c>
      <c r="N255">
        <v>0.84</v>
      </c>
    </row>
    <row r="256" spans="3:14" x14ac:dyDescent="0.2">
      <c r="C256" t="s">
        <v>584</v>
      </c>
      <c r="D256">
        <v>0.01</v>
      </c>
      <c r="E256">
        <v>0.01</v>
      </c>
      <c r="F256">
        <v>0.05</v>
      </c>
      <c r="G256">
        <v>0.13</v>
      </c>
      <c r="H256">
        <v>0.28000000000000003</v>
      </c>
      <c r="I256">
        <v>0.54</v>
      </c>
      <c r="J256">
        <v>0.79</v>
      </c>
      <c r="K256">
        <v>0.91</v>
      </c>
      <c r="L256">
        <v>0.95</v>
      </c>
      <c r="M256">
        <v>0.97</v>
      </c>
      <c r="N256">
        <v>0.97</v>
      </c>
    </row>
    <row r="257" spans="3:14" x14ac:dyDescent="0.2">
      <c r="C257" t="s">
        <v>585</v>
      </c>
      <c r="D257">
        <v>0.05</v>
      </c>
      <c r="E257">
        <v>0.06</v>
      </c>
      <c r="F257">
        <v>7.0000000000000007E-2</v>
      </c>
      <c r="G257">
        <v>0.06</v>
      </c>
      <c r="H257">
        <v>0.09</v>
      </c>
      <c r="I257">
        <v>0.13</v>
      </c>
      <c r="J257">
        <v>0.16</v>
      </c>
      <c r="K257">
        <v>0.17</v>
      </c>
      <c r="L257">
        <v>0.17</v>
      </c>
      <c r="M257">
        <v>0.18</v>
      </c>
      <c r="N257">
        <v>0.18</v>
      </c>
    </row>
    <row r="258" spans="3:14" x14ac:dyDescent="0.2">
      <c r="C258" t="s">
        <v>586</v>
      </c>
      <c r="D258">
        <v>0.35</v>
      </c>
      <c r="E258">
        <v>0.44</v>
      </c>
      <c r="F258">
        <v>0.51</v>
      </c>
      <c r="G258">
        <v>0.54</v>
      </c>
      <c r="H258">
        <v>0.6</v>
      </c>
      <c r="I258">
        <v>0.68</v>
      </c>
      <c r="J258">
        <v>0.73</v>
      </c>
      <c r="K258">
        <v>0.73</v>
      </c>
      <c r="L258">
        <v>0.73</v>
      </c>
      <c r="M258">
        <v>0.73</v>
      </c>
      <c r="N258">
        <v>0.73</v>
      </c>
    </row>
    <row r="259" spans="3:14" x14ac:dyDescent="0.2">
      <c r="C259" t="s">
        <v>587</v>
      </c>
      <c r="D259">
        <v>0.02</v>
      </c>
      <c r="E259">
        <v>0.01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</row>
    <row r="260" spans="3:14" x14ac:dyDescent="0.2">
      <c r="C260" t="s">
        <v>588</v>
      </c>
      <c r="D260" s="20">
        <f t="shared" ref="D260:J260" si="25">D240+D243+D244+D248</f>
        <v>32.99</v>
      </c>
      <c r="E260" s="20">
        <f t="shared" si="25"/>
        <v>31.3</v>
      </c>
      <c r="F260" s="20">
        <f t="shared" si="25"/>
        <v>30.39</v>
      </c>
      <c r="G260" s="20">
        <f t="shared" si="25"/>
        <v>33.51</v>
      </c>
      <c r="H260" s="20">
        <f t="shared" si="25"/>
        <v>36.410000000000004</v>
      </c>
      <c r="I260" s="20">
        <f t="shared" si="25"/>
        <v>37.86</v>
      </c>
      <c r="J260" s="20">
        <f t="shared" si="25"/>
        <v>38.480000000000004</v>
      </c>
      <c r="K260" s="20">
        <f>K240+K244+K248</f>
        <v>42.38</v>
      </c>
      <c r="L260" s="20">
        <f>L240+L244+L248</f>
        <v>43.259999999999991</v>
      </c>
      <c r="M260" s="20">
        <f>M240+M244+M248</f>
        <v>44.580000000000005</v>
      </c>
      <c r="N260" s="20">
        <f>N240+N244+N248</f>
        <v>45.57</v>
      </c>
    </row>
    <row r="261" spans="3:14" x14ac:dyDescent="0.2">
      <c r="C261" t="s">
        <v>634</v>
      </c>
      <c r="D261">
        <v>-0.89</v>
      </c>
      <c r="E261">
        <v>-0.89</v>
      </c>
      <c r="F261">
        <v>-1.02</v>
      </c>
      <c r="G261">
        <v>-2.13</v>
      </c>
      <c r="H261">
        <v>-4.12</v>
      </c>
      <c r="I261">
        <v>-4.12</v>
      </c>
      <c r="J261">
        <v>-4.12</v>
      </c>
      <c r="K261">
        <v>-4.12</v>
      </c>
      <c r="L261">
        <v>-4.12</v>
      </c>
      <c r="M261">
        <v>-4.12</v>
      </c>
      <c r="N261">
        <v>-4.12</v>
      </c>
    </row>
    <row r="262" spans="3:14" x14ac:dyDescent="0.2">
      <c r="C262" s="14" t="s">
        <v>590</v>
      </c>
      <c r="D262" s="32">
        <f>D260+D261</f>
        <v>32.1</v>
      </c>
      <c r="E262" s="32">
        <f t="shared" ref="E262:N262" si="26">E260+E261</f>
        <v>30.41</v>
      </c>
      <c r="F262" s="32">
        <f t="shared" si="26"/>
        <v>29.37</v>
      </c>
      <c r="G262" s="32">
        <f t="shared" si="26"/>
        <v>31.38</v>
      </c>
      <c r="H262" s="32">
        <f t="shared" si="26"/>
        <v>32.290000000000006</v>
      </c>
      <c r="I262" s="32">
        <f t="shared" si="26"/>
        <v>33.74</v>
      </c>
      <c r="J262" s="32">
        <f t="shared" si="26"/>
        <v>34.360000000000007</v>
      </c>
      <c r="K262" s="32">
        <f t="shared" si="26"/>
        <v>38.260000000000005</v>
      </c>
      <c r="L262" s="32">
        <f t="shared" si="26"/>
        <v>39.139999999999993</v>
      </c>
      <c r="M262" s="32">
        <f t="shared" si="26"/>
        <v>40.460000000000008</v>
      </c>
      <c r="N262" s="32">
        <f t="shared" si="26"/>
        <v>41.45</v>
      </c>
    </row>
    <row r="263" spans="3:14" x14ac:dyDescent="0.2">
      <c r="C263" t="s">
        <v>591</v>
      </c>
      <c r="D263">
        <v>10.16</v>
      </c>
      <c r="E263">
        <v>9.76</v>
      </c>
      <c r="F263">
        <v>9.36</v>
      </c>
      <c r="G263">
        <v>9.36</v>
      </c>
      <c r="H263">
        <v>5.46</v>
      </c>
      <c r="I263">
        <v>4.57</v>
      </c>
      <c r="J263">
        <v>4.57</v>
      </c>
      <c r="K263">
        <v>1.42</v>
      </c>
      <c r="L263">
        <v>0.71</v>
      </c>
      <c r="M263" t="s">
        <v>3</v>
      </c>
      <c r="N263" t="s">
        <v>572</v>
      </c>
    </row>
    <row r="264" spans="3:14" x14ac:dyDescent="0.2">
      <c r="C264" t="s">
        <v>592</v>
      </c>
      <c r="D264">
        <v>10.16</v>
      </c>
      <c r="E264">
        <v>9.76</v>
      </c>
      <c r="F264">
        <v>9.36</v>
      </c>
      <c r="G264">
        <v>9.36</v>
      </c>
      <c r="H264">
        <v>5.46</v>
      </c>
      <c r="I264">
        <v>4.57</v>
      </c>
      <c r="J264">
        <v>4.57</v>
      </c>
      <c r="K264">
        <v>1.42</v>
      </c>
      <c r="L264">
        <v>0.71</v>
      </c>
      <c r="M264" t="s">
        <v>572</v>
      </c>
      <c r="N264" t="s">
        <v>3</v>
      </c>
    </row>
    <row r="265" spans="3:14" x14ac:dyDescent="0.2">
      <c r="C265" t="s">
        <v>593</v>
      </c>
      <c r="D265" t="s">
        <v>572</v>
      </c>
      <c r="E265" t="s">
        <v>3</v>
      </c>
      <c r="F265" t="s">
        <v>3</v>
      </c>
      <c r="G265" t="s">
        <v>3</v>
      </c>
      <c r="H265" t="s">
        <v>572</v>
      </c>
      <c r="I265" t="s">
        <v>3</v>
      </c>
      <c r="J265" t="s">
        <v>3</v>
      </c>
      <c r="K265" t="s">
        <v>3</v>
      </c>
      <c r="L265" t="s">
        <v>3</v>
      </c>
      <c r="M265" t="s">
        <v>3</v>
      </c>
      <c r="N265" t="s">
        <v>3</v>
      </c>
    </row>
    <row r="266" spans="3:14" x14ac:dyDescent="0.2">
      <c r="C266" t="s">
        <v>594</v>
      </c>
      <c r="D266">
        <v>11.67</v>
      </c>
      <c r="E266">
        <v>6.85</v>
      </c>
      <c r="F266">
        <v>4.0999999999999996</v>
      </c>
      <c r="G266">
        <v>5.09</v>
      </c>
      <c r="H266">
        <v>1.1299999999999999</v>
      </c>
      <c r="I266">
        <v>1.1299999999999999</v>
      </c>
      <c r="J266">
        <v>1.1299999999999999</v>
      </c>
      <c r="K266">
        <v>1.1299999999999999</v>
      </c>
      <c r="L266">
        <v>0.36</v>
      </c>
      <c r="M266">
        <v>0</v>
      </c>
      <c r="N266">
        <v>0</v>
      </c>
    </row>
    <row r="267" spans="3:14" x14ac:dyDescent="0.2">
      <c r="C267" t="s">
        <v>612</v>
      </c>
      <c r="D267">
        <v>1.47</v>
      </c>
      <c r="E267">
        <v>1.1299999999999999</v>
      </c>
      <c r="F267">
        <v>1.1299999999999999</v>
      </c>
      <c r="G267">
        <v>1.1299999999999999</v>
      </c>
      <c r="H267">
        <v>1.1299999999999999</v>
      </c>
      <c r="I267">
        <v>1.1299999999999999</v>
      </c>
      <c r="J267">
        <v>1.1299999999999999</v>
      </c>
      <c r="K267">
        <v>1.1299999999999999</v>
      </c>
      <c r="L267">
        <v>0.36</v>
      </c>
      <c r="M267" t="s">
        <v>572</v>
      </c>
      <c r="N267" t="s">
        <v>3</v>
      </c>
    </row>
    <row r="268" spans="3:14" x14ac:dyDescent="0.2">
      <c r="C268" t="s">
        <v>596</v>
      </c>
      <c r="D268">
        <v>10.199999999999999</v>
      </c>
      <c r="E268">
        <v>5.72</v>
      </c>
      <c r="F268">
        <v>2.97</v>
      </c>
      <c r="G268">
        <v>3.96</v>
      </c>
      <c r="H268" t="s">
        <v>572</v>
      </c>
      <c r="I268" t="s">
        <v>3</v>
      </c>
      <c r="J268" t="s">
        <v>3</v>
      </c>
      <c r="K268" t="s">
        <v>3</v>
      </c>
      <c r="L268">
        <v>0</v>
      </c>
      <c r="M268">
        <v>0</v>
      </c>
      <c r="N268">
        <v>0</v>
      </c>
    </row>
    <row r="269" spans="3:14" x14ac:dyDescent="0.2">
      <c r="C269" s="14" t="s">
        <v>597</v>
      </c>
      <c r="D269" s="32">
        <f>D263-D266</f>
        <v>-1.5099999999999998</v>
      </c>
      <c r="E269" s="32">
        <f t="shared" ref="E269:L269" si="27">E263-E266</f>
        <v>2.91</v>
      </c>
      <c r="F269" s="32">
        <f t="shared" si="27"/>
        <v>5.26</v>
      </c>
      <c r="G269" s="32">
        <f t="shared" si="27"/>
        <v>4.2699999999999996</v>
      </c>
      <c r="H269" s="32">
        <f t="shared" si="27"/>
        <v>4.33</v>
      </c>
      <c r="I269" s="32">
        <f t="shared" si="27"/>
        <v>3.4400000000000004</v>
      </c>
      <c r="J269" s="32">
        <f t="shared" si="27"/>
        <v>3.4400000000000004</v>
      </c>
      <c r="K269" s="32">
        <f t="shared" si="27"/>
        <v>0.29000000000000004</v>
      </c>
      <c r="L269" s="32">
        <f t="shared" si="27"/>
        <v>0.35</v>
      </c>
      <c r="M269" s="32">
        <v>0</v>
      </c>
      <c r="N269" s="32">
        <v>0</v>
      </c>
    </row>
    <row r="270" spans="3:14" x14ac:dyDescent="0.2">
      <c r="C270" t="s">
        <v>598</v>
      </c>
      <c r="D270" s="20">
        <f>D262+D269</f>
        <v>30.590000000000003</v>
      </c>
      <c r="E270" s="20">
        <f t="shared" ref="E270:N270" si="28">E262+E269</f>
        <v>33.32</v>
      </c>
      <c r="F270" s="20">
        <f t="shared" si="28"/>
        <v>34.630000000000003</v>
      </c>
      <c r="G270" s="20">
        <f t="shared" si="28"/>
        <v>35.65</v>
      </c>
      <c r="H270" s="20">
        <f t="shared" si="28"/>
        <v>36.620000000000005</v>
      </c>
      <c r="I270" s="20">
        <f t="shared" si="28"/>
        <v>37.18</v>
      </c>
      <c r="J270" s="20">
        <f t="shared" si="28"/>
        <v>37.800000000000004</v>
      </c>
      <c r="K270" s="20">
        <f t="shared" si="28"/>
        <v>38.550000000000004</v>
      </c>
      <c r="L270" s="20">
        <f t="shared" si="28"/>
        <v>39.489999999999995</v>
      </c>
      <c r="M270" s="20">
        <f t="shared" si="28"/>
        <v>40.460000000000008</v>
      </c>
      <c r="N270" s="20">
        <f t="shared" si="28"/>
        <v>41.45</v>
      </c>
    </row>
    <row r="272" spans="3:14" x14ac:dyDescent="0.2">
      <c r="C272" t="s">
        <v>599</v>
      </c>
      <c r="D272">
        <v>32.950000000000003</v>
      </c>
      <c r="E272">
        <v>35.33</v>
      </c>
      <c r="F272">
        <v>36.770000000000003</v>
      </c>
      <c r="G272">
        <v>38.909999999999997</v>
      </c>
      <c r="H272">
        <v>41.87</v>
      </c>
      <c r="I272">
        <v>42.43</v>
      </c>
      <c r="J272">
        <v>43.05</v>
      </c>
      <c r="K272">
        <v>43.79</v>
      </c>
      <c r="L272">
        <v>43.96</v>
      </c>
      <c r="M272">
        <v>44.59</v>
      </c>
      <c r="N272">
        <v>45.57</v>
      </c>
    </row>
    <row r="278" spans="2:14" s="2" customFormat="1" ht="15" x14ac:dyDescent="0.25">
      <c r="C278" s="9" t="s">
        <v>635</v>
      </c>
      <c r="D278" s="2" t="s">
        <v>630</v>
      </c>
    </row>
    <row r="279" spans="2:14" s="2" customFormat="1" ht="15" x14ac:dyDescent="0.25">
      <c r="B279" s="2" t="s">
        <v>614</v>
      </c>
    </row>
    <row r="280" spans="2:14" s="2" customFormat="1" ht="15" x14ac:dyDescent="0.25">
      <c r="B280" s="13" t="s">
        <v>615</v>
      </c>
      <c r="D280" s="2">
        <v>2000</v>
      </c>
      <c r="E280" s="2">
        <v>2005</v>
      </c>
      <c r="F280" s="2">
        <v>2010</v>
      </c>
      <c r="G280" s="2">
        <v>2015</v>
      </c>
      <c r="H280" s="2">
        <v>2020</v>
      </c>
      <c r="I280" s="2">
        <v>2025</v>
      </c>
      <c r="J280" s="2">
        <v>2030</v>
      </c>
      <c r="K280" s="2">
        <v>2035</v>
      </c>
      <c r="L280" s="2">
        <v>2040</v>
      </c>
      <c r="M280" s="2">
        <v>2045</v>
      </c>
      <c r="N280" s="2">
        <v>2050</v>
      </c>
    </row>
    <row r="281" spans="2:14" x14ac:dyDescent="0.2">
      <c r="C281" t="s">
        <v>568</v>
      </c>
      <c r="D281">
        <v>20.67</v>
      </c>
      <c r="E281">
        <v>18.78</v>
      </c>
      <c r="F281">
        <v>21.26</v>
      </c>
      <c r="G281">
        <v>21.92</v>
      </c>
      <c r="H281">
        <v>22.98</v>
      </c>
      <c r="I281">
        <v>23.05</v>
      </c>
      <c r="J281">
        <v>23.08</v>
      </c>
      <c r="K281">
        <v>23.13</v>
      </c>
      <c r="L281">
        <v>23.22</v>
      </c>
      <c r="M281">
        <v>23.28</v>
      </c>
      <c r="N281">
        <v>23.29</v>
      </c>
    </row>
    <row r="282" spans="2:14" x14ac:dyDescent="0.2">
      <c r="C282" t="s">
        <v>633</v>
      </c>
      <c r="D282">
        <v>20.67</v>
      </c>
      <c r="E282">
        <v>18.78</v>
      </c>
      <c r="F282">
        <v>21.26</v>
      </c>
      <c r="G282">
        <v>21</v>
      </c>
      <c r="H282">
        <v>20.78</v>
      </c>
      <c r="I282">
        <v>20.58</v>
      </c>
      <c r="J282">
        <v>20.37</v>
      </c>
      <c r="K282">
        <v>20.07</v>
      </c>
      <c r="L282">
        <v>19.82</v>
      </c>
      <c r="M282">
        <v>19.32</v>
      </c>
      <c r="N282">
        <v>18.95</v>
      </c>
    </row>
    <row r="283" spans="2:14" x14ac:dyDescent="0.2">
      <c r="C283" t="s">
        <v>603</v>
      </c>
      <c r="D283" t="s">
        <v>572</v>
      </c>
      <c r="E283" t="s">
        <v>572</v>
      </c>
      <c r="F283" t="s">
        <v>572</v>
      </c>
      <c r="G283">
        <v>0.91</v>
      </c>
      <c r="H283">
        <v>2.19</v>
      </c>
      <c r="I283">
        <v>2.4700000000000002</v>
      </c>
      <c r="J283">
        <v>2.71</v>
      </c>
      <c r="K283">
        <v>3.06</v>
      </c>
      <c r="L283">
        <v>3.4</v>
      </c>
      <c r="M283">
        <v>3.97</v>
      </c>
      <c r="N283">
        <v>4.34</v>
      </c>
    </row>
    <row r="284" spans="2:14" x14ac:dyDescent="0.2">
      <c r="C284" t="s">
        <v>571</v>
      </c>
      <c r="D284">
        <v>11.01</v>
      </c>
      <c r="E284">
        <v>7.97</v>
      </c>
      <c r="F284">
        <v>10.96</v>
      </c>
      <c r="G284">
        <v>11.08</v>
      </c>
      <c r="H284">
        <v>9.77</v>
      </c>
      <c r="I284">
        <v>7.21</v>
      </c>
      <c r="J284">
        <v>3.97</v>
      </c>
      <c r="K284" t="s">
        <v>572</v>
      </c>
      <c r="L284" t="s">
        <v>3</v>
      </c>
      <c r="M284" t="s">
        <v>3</v>
      </c>
      <c r="N284" t="s">
        <v>3</v>
      </c>
    </row>
    <row r="285" spans="2:14" x14ac:dyDescent="0.2">
      <c r="C285" t="s">
        <v>604</v>
      </c>
      <c r="D285">
        <v>0.67</v>
      </c>
      <c r="E285">
        <v>0.82</v>
      </c>
      <c r="F285">
        <v>0.88</v>
      </c>
      <c r="G285">
        <v>1.07</v>
      </c>
      <c r="H285">
        <v>1.23</v>
      </c>
      <c r="I285">
        <v>1.3</v>
      </c>
      <c r="J285">
        <v>1.38</v>
      </c>
      <c r="K285">
        <v>5.35</v>
      </c>
      <c r="L285">
        <v>3.09</v>
      </c>
      <c r="M285">
        <v>1.31</v>
      </c>
      <c r="N285">
        <v>1.31</v>
      </c>
    </row>
    <row r="286" spans="2:14" x14ac:dyDescent="0.2">
      <c r="C286" t="s">
        <v>605</v>
      </c>
      <c r="D286">
        <v>0.67</v>
      </c>
      <c r="E286">
        <v>0.82</v>
      </c>
      <c r="F286">
        <v>0.88</v>
      </c>
      <c r="G286">
        <v>0.71</v>
      </c>
      <c r="H286">
        <v>0.62</v>
      </c>
      <c r="I286">
        <v>0.38</v>
      </c>
      <c r="J286">
        <v>0.24</v>
      </c>
      <c r="K286">
        <v>0.14000000000000001</v>
      </c>
      <c r="L286" t="s">
        <v>572</v>
      </c>
      <c r="M286" t="s">
        <v>3</v>
      </c>
      <c r="N286" t="s">
        <v>3</v>
      </c>
    </row>
    <row r="287" spans="2:14" x14ac:dyDescent="0.2">
      <c r="C287" t="s">
        <v>606</v>
      </c>
      <c r="D287" t="s">
        <v>3</v>
      </c>
      <c r="E287" t="s">
        <v>3</v>
      </c>
      <c r="F287" t="s">
        <v>3</v>
      </c>
      <c r="G287" t="s">
        <v>3</v>
      </c>
      <c r="H287" t="s">
        <v>3</v>
      </c>
      <c r="I287" t="s">
        <v>3</v>
      </c>
      <c r="J287" t="s">
        <v>3</v>
      </c>
      <c r="K287">
        <v>3.98</v>
      </c>
      <c r="L287">
        <v>1.78</v>
      </c>
      <c r="M287" t="s">
        <v>572</v>
      </c>
      <c r="N287" t="s">
        <v>3</v>
      </c>
    </row>
    <row r="288" spans="2:14" x14ac:dyDescent="0.2">
      <c r="C288" t="s">
        <v>607</v>
      </c>
      <c r="D288" t="s">
        <v>3</v>
      </c>
      <c r="E288" t="s">
        <v>3</v>
      </c>
      <c r="F288" t="s">
        <v>3</v>
      </c>
      <c r="G288">
        <v>0.36</v>
      </c>
      <c r="H288">
        <v>0.61</v>
      </c>
      <c r="I288">
        <v>0.92</v>
      </c>
      <c r="J288">
        <v>1.1499999999999999</v>
      </c>
      <c r="K288">
        <v>1.23</v>
      </c>
      <c r="L288">
        <v>1.31</v>
      </c>
      <c r="M288">
        <v>1.31</v>
      </c>
      <c r="N288">
        <v>1.31</v>
      </c>
    </row>
    <row r="289" spans="3:14" x14ac:dyDescent="0.2">
      <c r="C289" t="s">
        <v>608</v>
      </c>
      <c r="D289">
        <v>0.36</v>
      </c>
      <c r="E289">
        <v>0.45</v>
      </c>
      <c r="F289">
        <v>0.62</v>
      </c>
      <c r="G289">
        <v>1.07</v>
      </c>
      <c r="H289">
        <v>1.66</v>
      </c>
      <c r="I289">
        <v>2.6</v>
      </c>
      <c r="J289">
        <v>3.96</v>
      </c>
      <c r="K289">
        <v>6.34</v>
      </c>
      <c r="L289">
        <v>8.8800000000000008</v>
      </c>
      <c r="M289">
        <v>11.58</v>
      </c>
      <c r="N289">
        <v>13.75</v>
      </c>
    </row>
    <row r="290" spans="3:14" x14ac:dyDescent="0.2">
      <c r="C290" t="s">
        <v>609</v>
      </c>
      <c r="D290">
        <v>0.36</v>
      </c>
      <c r="E290">
        <v>0.45</v>
      </c>
      <c r="F290">
        <v>0.62</v>
      </c>
      <c r="G290">
        <v>0.47</v>
      </c>
      <c r="H290">
        <v>0.42</v>
      </c>
      <c r="I290">
        <v>0.32</v>
      </c>
      <c r="J290">
        <v>0.19</v>
      </c>
      <c r="K290">
        <v>0.04</v>
      </c>
      <c r="L290">
        <v>0</v>
      </c>
      <c r="M290" t="s">
        <v>3</v>
      </c>
      <c r="N290" t="s">
        <v>3</v>
      </c>
    </row>
    <row r="291" spans="3:14" x14ac:dyDescent="0.2">
      <c r="C291" t="s">
        <v>610</v>
      </c>
      <c r="D291" t="s">
        <v>572</v>
      </c>
      <c r="E291" t="s">
        <v>3</v>
      </c>
      <c r="F291" t="s">
        <v>3</v>
      </c>
      <c r="G291">
        <v>0.6</v>
      </c>
      <c r="H291">
        <v>1.25</v>
      </c>
      <c r="I291">
        <v>2.2799999999999998</v>
      </c>
      <c r="J291">
        <v>3.77</v>
      </c>
      <c r="K291">
        <v>6.3</v>
      </c>
      <c r="L291">
        <v>8.8800000000000008</v>
      </c>
      <c r="M291">
        <v>11.58</v>
      </c>
      <c r="N291">
        <v>13.75</v>
      </c>
    </row>
    <row r="292" spans="3:14" x14ac:dyDescent="0.2">
      <c r="C292" t="s">
        <v>580</v>
      </c>
      <c r="D292">
        <v>0.01</v>
      </c>
      <c r="E292">
        <v>0.01</v>
      </c>
      <c r="F292">
        <v>0.06</v>
      </c>
      <c r="G292">
        <v>0.21</v>
      </c>
      <c r="H292">
        <v>0.38</v>
      </c>
      <c r="I292">
        <v>0.71</v>
      </c>
      <c r="J292">
        <v>1.39</v>
      </c>
      <c r="K292">
        <v>3.24</v>
      </c>
      <c r="L292">
        <v>4.92</v>
      </c>
      <c r="M292">
        <v>6.74</v>
      </c>
      <c r="N292">
        <v>8.1199999999999992</v>
      </c>
    </row>
    <row r="293" spans="3:14" x14ac:dyDescent="0.2">
      <c r="C293" t="s">
        <v>581</v>
      </c>
      <c r="D293">
        <v>0</v>
      </c>
      <c r="E293">
        <v>0</v>
      </c>
      <c r="F293">
        <v>0.01</v>
      </c>
      <c r="G293">
        <v>0.14000000000000001</v>
      </c>
      <c r="H293">
        <v>0.26</v>
      </c>
      <c r="I293">
        <v>0.39</v>
      </c>
      <c r="J293">
        <v>0.57999999999999996</v>
      </c>
      <c r="K293">
        <v>0.7</v>
      </c>
      <c r="L293">
        <v>1.04</v>
      </c>
      <c r="M293">
        <v>1.37</v>
      </c>
      <c r="N293">
        <v>1.7</v>
      </c>
    </row>
    <row r="294" spans="3:14" x14ac:dyDescent="0.2">
      <c r="C294" t="s">
        <v>582</v>
      </c>
      <c r="D294" t="s">
        <v>3</v>
      </c>
      <c r="E294" t="s">
        <v>3</v>
      </c>
      <c r="F294" t="s">
        <v>3</v>
      </c>
      <c r="G294" t="s">
        <v>3</v>
      </c>
      <c r="H294" t="s">
        <v>3</v>
      </c>
      <c r="I294" t="s">
        <v>3</v>
      </c>
      <c r="J294" t="s">
        <v>3</v>
      </c>
      <c r="K294" t="s">
        <v>3</v>
      </c>
      <c r="L294" t="s">
        <v>3</v>
      </c>
      <c r="M294" t="s">
        <v>3</v>
      </c>
      <c r="N294" t="s">
        <v>3</v>
      </c>
    </row>
    <row r="295" spans="3:14" x14ac:dyDescent="0.2">
      <c r="C295" t="s">
        <v>47</v>
      </c>
      <c r="D295" t="s">
        <v>3</v>
      </c>
      <c r="E295" t="s">
        <v>3</v>
      </c>
      <c r="F295" t="s">
        <v>3</v>
      </c>
      <c r="G295">
        <v>0.05</v>
      </c>
      <c r="H295">
        <v>0.1</v>
      </c>
      <c r="I295">
        <v>0.2</v>
      </c>
      <c r="J295">
        <v>0.39</v>
      </c>
      <c r="K295">
        <v>0.72</v>
      </c>
      <c r="L295">
        <v>1.2</v>
      </c>
      <c r="M295">
        <v>1.74</v>
      </c>
      <c r="N295">
        <v>2.19</v>
      </c>
    </row>
    <row r="296" spans="3:14" x14ac:dyDescent="0.2">
      <c r="C296" t="s">
        <v>583</v>
      </c>
      <c r="D296">
        <v>0.01</v>
      </c>
      <c r="E296">
        <v>0.01</v>
      </c>
      <c r="F296">
        <v>0.04</v>
      </c>
      <c r="G296">
        <v>0.1</v>
      </c>
      <c r="H296">
        <v>0.19</v>
      </c>
      <c r="I296">
        <v>0.31</v>
      </c>
      <c r="J296">
        <v>0.39</v>
      </c>
      <c r="K296">
        <v>0.4</v>
      </c>
      <c r="L296">
        <v>0.4</v>
      </c>
      <c r="M296">
        <v>0.4</v>
      </c>
      <c r="N296">
        <v>0.41</v>
      </c>
    </row>
    <row r="297" spans="3:14" x14ac:dyDescent="0.2">
      <c r="C297" t="s">
        <v>584</v>
      </c>
      <c r="D297">
        <v>0</v>
      </c>
      <c r="E297">
        <v>0.01</v>
      </c>
      <c r="F297">
        <v>0.03</v>
      </c>
      <c r="G297">
        <v>0.08</v>
      </c>
      <c r="H297">
        <v>0.18</v>
      </c>
      <c r="I297">
        <v>0.34</v>
      </c>
      <c r="J297">
        <v>0.5</v>
      </c>
      <c r="K297">
        <v>0.56999999999999995</v>
      </c>
      <c r="L297">
        <v>0.6</v>
      </c>
      <c r="M297">
        <v>0.61</v>
      </c>
      <c r="N297">
        <v>0.61</v>
      </c>
    </row>
    <row r="298" spans="3:14" x14ac:dyDescent="0.2">
      <c r="C298" t="s">
        <v>585</v>
      </c>
      <c r="D298">
        <v>0.04</v>
      </c>
      <c r="E298">
        <v>0.04</v>
      </c>
      <c r="F298">
        <v>0.05</v>
      </c>
      <c r="G298">
        <v>0.04</v>
      </c>
      <c r="H298">
        <v>7.0000000000000007E-2</v>
      </c>
      <c r="I298">
        <v>0.09</v>
      </c>
      <c r="J298">
        <v>0.11</v>
      </c>
      <c r="K298">
        <v>0.12</v>
      </c>
      <c r="L298">
        <v>0.12</v>
      </c>
      <c r="M298">
        <v>0.12</v>
      </c>
      <c r="N298">
        <v>0.12</v>
      </c>
    </row>
    <row r="299" spans="3:14" x14ac:dyDescent="0.2">
      <c r="C299" t="s">
        <v>586</v>
      </c>
      <c r="D299">
        <v>0.28999999999999998</v>
      </c>
      <c r="E299">
        <v>0.36</v>
      </c>
      <c r="F299">
        <v>0.41</v>
      </c>
      <c r="G299">
        <v>0.45</v>
      </c>
      <c r="H299">
        <v>0.49</v>
      </c>
      <c r="I299">
        <v>0.56000000000000005</v>
      </c>
      <c r="J299">
        <v>0.59</v>
      </c>
      <c r="K299">
        <v>0.6</v>
      </c>
      <c r="L299">
        <v>0.6</v>
      </c>
      <c r="M299">
        <v>0.6</v>
      </c>
      <c r="N299">
        <v>0.6</v>
      </c>
    </row>
    <row r="300" spans="3:14" x14ac:dyDescent="0.2">
      <c r="C300" t="s">
        <v>587</v>
      </c>
      <c r="D300">
        <v>0.02</v>
      </c>
      <c r="E300">
        <v>0.01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</row>
    <row r="301" spans="3:14" x14ac:dyDescent="0.2">
      <c r="C301" t="s">
        <v>588</v>
      </c>
      <c r="D301" s="20">
        <f t="shared" ref="D301:J301" si="29">D281+D284+D285+D289</f>
        <v>32.71</v>
      </c>
      <c r="E301" s="20">
        <f t="shared" si="29"/>
        <v>28.02</v>
      </c>
      <c r="F301" s="20">
        <f t="shared" si="29"/>
        <v>33.72</v>
      </c>
      <c r="G301" s="20">
        <f t="shared" si="29"/>
        <v>35.14</v>
      </c>
      <c r="H301" s="20">
        <f t="shared" si="29"/>
        <v>35.639999999999993</v>
      </c>
      <c r="I301" s="20">
        <f t="shared" si="29"/>
        <v>34.160000000000004</v>
      </c>
      <c r="J301" s="20">
        <f t="shared" si="29"/>
        <v>32.389999999999993</v>
      </c>
      <c r="K301" s="20">
        <f>K281+K285+K289</f>
        <v>34.819999999999993</v>
      </c>
      <c r="L301" s="20">
        <f>L281+L285+L289</f>
        <v>35.19</v>
      </c>
      <c r="M301" s="20">
        <f>M281+M285+M289</f>
        <v>36.17</v>
      </c>
      <c r="N301" s="20">
        <f>N281+N285+N289</f>
        <v>38.349999999999994</v>
      </c>
    </row>
    <row r="302" spans="3:14" x14ac:dyDescent="0.2">
      <c r="C302" t="s">
        <v>611</v>
      </c>
      <c r="D302">
        <v>-1.33</v>
      </c>
      <c r="E302">
        <v>-1.33</v>
      </c>
      <c r="F302">
        <v>-1.53</v>
      </c>
      <c r="G302">
        <v>-2.21</v>
      </c>
      <c r="H302">
        <v>-3.42</v>
      </c>
      <c r="I302">
        <v>-3.42</v>
      </c>
      <c r="J302">
        <v>-3.42</v>
      </c>
      <c r="K302">
        <v>-3.42</v>
      </c>
      <c r="L302">
        <v>-3.42</v>
      </c>
      <c r="M302">
        <v>-3.42</v>
      </c>
      <c r="N302">
        <v>-3.42</v>
      </c>
    </row>
    <row r="303" spans="3:14" x14ac:dyDescent="0.2">
      <c r="C303" s="14" t="s">
        <v>590</v>
      </c>
      <c r="D303" s="32">
        <f>D301+D302</f>
        <v>31.380000000000003</v>
      </c>
      <c r="E303" s="32">
        <f t="shared" ref="E303:N303" si="30">E301+E302</f>
        <v>26.689999999999998</v>
      </c>
      <c r="F303" s="32">
        <f t="shared" si="30"/>
        <v>32.19</v>
      </c>
      <c r="G303" s="32">
        <f t="shared" si="30"/>
        <v>32.93</v>
      </c>
      <c r="H303" s="32">
        <f t="shared" si="30"/>
        <v>32.219999999999992</v>
      </c>
      <c r="I303" s="32">
        <f t="shared" si="30"/>
        <v>30.740000000000002</v>
      </c>
      <c r="J303" s="32">
        <f t="shared" si="30"/>
        <v>28.969999999999992</v>
      </c>
      <c r="K303" s="32">
        <f t="shared" si="30"/>
        <v>31.399999999999991</v>
      </c>
      <c r="L303" s="32">
        <f t="shared" si="30"/>
        <v>31.769999999999996</v>
      </c>
      <c r="M303" s="32">
        <f t="shared" si="30"/>
        <v>32.75</v>
      </c>
      <c r="N303" s="32">
        <f t="shared" si="30"/>
        <v>34.929999999999993</v>
      </c>
    </row>
    <row r="304" spans="3:14" x14ac:dyDescent="0.2">
      <c r="C304" t="s">
        <v>591</v>
      </c>
      <c r="D304">
        <v>8.56</v>
      </c>
      <c r="E304">
        <v>8.2200000000000006</v>
      </c>
      <c r="F304">
        <v>7.88</v>
      </c>
      <c r="G304">
        <v>7.88</v>
      </c>
      <c r="H304">
        <v>4.5999999999999996</v>
      </c>
      <c r="I304">
        <v>3.85</v>
      </c>
      <c r="J304">
        <v>3.85</v>
      </c>
      <c r="K304">
        <v>1.19</v>
      </c>
      <c r="L304">
        <v>0.6</v>
      </c>
      <c r="M304" t="s">
        <v>572</v>
      </c>
      <c r="N304" t="s">
        <v>3</v>
      </c>
    </row>
    <row r="305" spans="3:14" x14ac:dyDescent="0.2">
      <c r="C305" t="s">
        <v>592</v>
      </c>
      <c r="D305">
        <v>8.56</v>
      </c>
      <c r="E305">
        <v>8.2200000000000006</v>
      </c>
      <c r="F305">
        <v>7.88</v>
      </c>
      <c r="G305">
        <v>7.88</v>
      </c>
      <c r="H305">
        <v>4.5999999999999996</v>
      </c>
      <c r="I305">
        <v>3.85</v>
      </c>
      <c r="J305">
        <v>3.85</v>
      </c>
      <c r="K305">
        <v>1.19</v>
      </c>
      <c r="L305">
        <v>0.6</v>
      </c>
      <c r="M305" t="s">
        <v>572</v>
      </c>
      <c r="N305" t="s">
        <v>3</v>
      </c>
    </row>
    <row r="306" spans="3:14" x14ac:dyDescent="0.2">
      <c r="C306" t="s">
        <v>593</v>
      </c>
      <c r="D306" t="s">
        <v>3</v>
      </c>
      <c r="E306" t="s">
        <v>572</v>
      </c>
      <c r="F306" t="s">
        <v>572</v>
      </c>
      <c r="G306" t="s">
        <v>3</v>
      </c>
      <c r="H306" t="s">
        <v>3</v>
      </c>
      <c r="I306" t="s">
        <v>3</v>
      </c>
      <c r="J306" t="s">
        <v>3</v>
      </c>
      <c r="K306" t="s">
        <v>3</v>
      </c>
      <c r="L306" t="s">
        <v>3</v>
      </c>
      <c r="M306" t="s">
        <v>3</v>
      </c>
      <c r="N306" t="s">
        <v>3</v>
      </c>
    </row>
    <row r="307" spans="3:14" x14ac:dyDescent="0.2">
      <c r="C307" t="s">
        <v>594</v>
      </c>
      <c r="D307">
        <v>14.39</v>
      </c>
      <c r="E307">
        <v>6.9</v>
      </c>
      <c r="F307">
        <v>11.09</v>
      </c>
      <c r="G307">
        <v>11.12</v>
      </c>
      <c r="H307">
        <v>6.48</v>
      </c>
      <c r="I307">
        <v>3.93</v>
      </c>
      <c r="J307">
        <v>1.81</v>
      </c>
      <c r="K307">
        <v>1.1399999999999999</v>
      </c>
      <c r="L307">
        <v>0.3</v>
      </c>
      <c r="M307">
        <v>0.05</v>
      </c>
      <c r="N307">
        <v>1.59</v>
      </c>
    </row>
    <row r="308" spans="3:14" x14ac:dyDescent="0.2">
      <c r="C308" t="s">
        <v>612</v>
      </c>
      <c r="D308">
        <v>1.35</v>
      </c>
      <c r="E308">
        <v>1.1399999999999999</v>
      </c>
      <c r="F308">
        <v>1.1399999999999999</v>
      </c>
      <c r="G308">
        <v>1.1399999999999999</v>
      </c>
      <c r="H308">
        <v>1.1399999999999999</v>
      </c>
      <c r="I308">
        <v>1.1399999999999999</v>
      </c>
      <c r="J308">
        <v>1.1399999999999999</v>
      </c>
      <c r="K308">
        <v>1.1399999999999999</v>
      </c>
      <c r="L308">
        <v>0.3</v>
      </c>
      <c r="M308" t="s">
        <v>572</v>
      </c>
      <c r="N308" t="s">
        <v>3</v>
      </c>
    </row>
    <row r="309" spans="3:14" x14ac:dyDescent="0.2">
      <c r="C309" t="s">
        <v>596</v>
      </c>
      <c r="D309">
        <v>13.04</v>
      </c>
      <c r="E309">
        <v>5.76</v>
      </c>
      <c r="F309">
        <v>9.9600000000000009</v>
      </c>
      <c r="G309">
        <v>9.99</v>
      </c>
      <c r="H309">
        <v>5.34</v>
      </c>
      <c r="I309">
        <v>2.8</v>
      </c>
      <c r="J309">
        <v>0.68</v>
      </c>
      <c r="K309" t="s">
        <v>572</v>
      </c>
      <c r="L309" t="s">
        <v>3</v>
      </c>
      <c r="M309">
        <v>0.05</v>
      </c>
      <c r="N309">
        <v>1.59</v>
      </c>
    </row>
    <row r="310" spans="3:14" x14ac:dyDescent="0.2">
      <c r="C310" s="14" t="s">
        <v>597</v>
      </c>
      <c r="D310" s="32">
        <f>D304-D307</f>
        <v>-5.83</v>
      </c>
      <c r="E310" s="32">
        <f t="shared" ref="E310:L310" si="31">E304-E307</f>
        <v>1.3200000000000003</v>
      </c>
      <c r="F310" s="32">
        <f t="shared" si="31"/>
        <v>-3.21</v>
      </c>
      <c r="G310" s="32">
        <f t="shared" si="31"/>
        <v>-3.2399999999999993</v>
      </c>
      <c r="H310" s="32">
        <f t="shared" si="31"/>
        <v>-1.8800000000000008</v>
      </c>
      <c r="I310" s="32">
        <f t="shared" si="31"/>
        <v>-8.0000000000000071E-2</v>
      </c>
      <c r="J310" s="32">
        <f t="shared" si="31"/>
        <v>2.04</v>
      </c>
      <c r="K310" s="32">
        <f t="shared" si="31"/>
        <v>5.0000000000000044E-2</v>
      </c>
      <c r="L310" s="32">
        <f t="shared" si="31"/>
        <v>0.3</v>
      </c>
      <c r="M310" s="32">
        <v>0</v>
      </c>
      <c r="N310" s="32">
        <v>0</v>
      </c>
    </row>
    <row r="311" spans="3:14" x14ac:dyDescent="0.2">
      <c r="C311" t="s">
        <v>598</v>
      </c>
      <c r="D311" s="20">
        <f>D303+D310</f>
        <v>25.550000000000004</v>
      </c>
      <c r="E311" s="20">
        <f t="shared" ref="E311:N311" si="32">E303+E310</f>
        <v>28.009999999999998</v>
      </c>
      <c r="F311" s="20">
        <f t="shared" si="32"/>
        <v>28.979999999999997</v>
      </c>
      <c r="G311" s="20">
        <f t="shared" si="32"/>
        <v>29.69</v>
      </c>
      <c r="H311" s="20">
        <f t="shared" si="32"/>
        <v>30.339999999999989</v>
      </c>
      <c r="I311" s="20">
        <f t="shared" si="32"/>
        <v>30.660000000000004</v>
      </c>
      <c r="J311" s="20">
        <f t="shared" si="32"/>
        <v>31.009999999999991</v>
      </c>
      <c r="K311" s="20">
        <f t="shared" si="32"/>
        <v>31.449999999999992</v>
      </c>
      <c r="L311" s="20">
        <f t="shared" si="32"/>
        <v>32.069999999999993</v>
      </c>
      <c r="M311" s="20">
        <f t="shared" si="32"/>
        <v>32.75</v>
      </c>
      <c r="N311" s="20">
        <f t="shared" si="32"/>
        <v>34.929999999999993</v>
      </c>
    </row>
    <row r="313" spans="3:14" x14ac:dyDescent="0.2">
      <c r="C313" t="s">
        <v>599</v>
      </c>
      <c r="D313">
        <v>28.23</v>
      </c>
      <c r="E313">
        <v>30.48</v>
      </c>
      <c r="F313">
        <v>31.64</v>
      </c>
      <c r="G313">
        <v>33.020000000000003</v>
      </c>
      <c r="H313">
        <v>34.9</v>
      </c>
      <c r="I313">
        <v>35.21</v>
      </c>
      <c r="J313">
        <v>35.57</v>
      </c>
      <c r="K313">
        <v>36.020000000000003</v>
      </c>
      <c r="L313">
        <v>35.79</v>
      </c>
      <c r="M313">
        <v>36.130000000000003</v>
      </c>
      <c r="N313">
        <v>36.76</v>
      </c>
    </row>
    <row r="317" spans="3:14" s="2" customFormat="1" ht="15" x14ac:dyDescent="0.25">
      <c r="C317" s="2" t="s">
        <v>616</v>
      </c>
    </row>
    <row r="318" spans="3:14" s="2" customFormat="1" ht="15" x14ac:dyDescent="0.25"/>
    <row r="319" spans="3:14" s="2" customFormat="1" ht="15" x14ac:dyDescent="0.25">
      <c r="C319" s="9" t="s">
        <v>636</v>
      </c>
      <c r="D319" s="2" t="s">
        <v>630</v>
      </c>
    </row>
    <row r="320" spans="3:14" s="2" customFormat="1" ht="15" x14ac:dyDescent="0.25">
      <c r="C320" s="2" t="s">
        <v>618</v>
      </c>
    </row>
    <row r="321" spans="3:14" s="2" customFormat="1" ht="15" x14ac:dyDescent="0.25">
      <c r="D321" s="2">
        <v>2000</v>
      </c>
      <c r="E321" s="2">
        <v>2005</v>
      </c>
      <c r="F321" s="2">
        <v>2010</v>
      </c>
      <c r="G321" s="2">
        <v>2015</v>
      </c>
      <c r="H321" s="2">
        <v>2020</v>
      </c>
      <c r="I321" s="2">
        <v>2025</v>
      </c>
      <c r="J321" s="2">
        <v>2030</v>
      </c>
      <c r="K321" s="2">
        <v>2035</v>
      </c>
      <c r="L321" s="2">
        <v>2040</v>
      </c>
      <c r="M321" s="2">
        <v>2045</v>
      </c>
      <c r="N321" s="2">
        <v>2050</v>
      </c>
    </row>
    <row r="322" spans="3:14" x14ac:dyDescent="0.2">
      <c r="C322" t="s">
        <v>619</v>
      </c>
      <c r="D322">
        <v>2.9</v>
      </c>
      <c r="E322">
        <v>2.2000000000000002</v>
      </c>
      <c r="F322">
        <v>2.2000000000000002</v>
      </c>
      <c r="G322">
        <v>2.7</v>
      </c>
      <c r="H322">
        <v>2.7</v>
      </c>
      <c r="I322">
        <v>2.9</v>
      </c>
      <c r="J322">
        <v>3</v>
      </c>
      <c r="K322">
        <v>2.4</v>
      </c>
      <c r="L322">
        <v>2.4</v>
      </c>
      <c r="M322">
        <v>2.4</v>
      </c>
      <c r="N322">
        <v>2.4</v>
      </c>
    </row>
    <row r="323" spans="3:14" x14ac:dyDescent="0.2">
      <c r="C323" t="s">
        <v>332</v>
      </c>
      <c r="D323">
        <v>10.9</v>
      </c>
      <c r="E323">
        <v>11.7</v>
      </c>
      <c r="F323">
        <v>11.6</v>
      </c>
      <c r="G323">
        <v>15.9</v>
      </c>
      <c r="H323">
        <v>28.2</v>
      </c>
      <c r="I323">
        <v>47.1</v>
      </c>
      <c r="J323">
        <v>65.2</v>
      </c>
      <c r="K323">
        <v>129.19999999999999</v>
      </c>
      <c r="L323">
        <v>109</v>
      </c>
      <c r="M323">
        <v>94.3</v>
      </c>
      <c r="N323">
        <v>89.2</v>
      </c>
    </row>
    <row r="324" spans="3:14" x14ac:dyDescent="0.2">
      <c r="C324" t="s">
        <v>101</v>
      </c>
      <c r="D324">
        <v>2.2000000000000002</v>
      </c>
      <c r="E324">
        <v>2.7</v>
      </c>
      <c r="F324">
        <v>5.9</v>
      </c>
      <c r="G324">
        <v>11.2</v>
      </c>
      <c r="H324">
        <v>19.600000000000001</v>
      </c>
      <c r="I324">
        <v>31.7</v>
      </c>
      <c r="J324">
        <v>40.4</v>
      </c>
      <c r="K324">
        <v>41.5</v>
      </c>
      <c r="L324">
        <v>41.3</v>
      </c>
      <c r="M324">
        <v>40</v>
      </c>
      <c r="N324">
        <v>38.4</v>
      </c>
    </row>
    <row r="325" spans="3:14" x14ac:dyDescent="0.2">
      <c r="C325" t="s">
        <v>620</v>
      </c>
      <c r="D325">
        <v>42.3</v>
      </c>
      <c r="E325">
        <v>51.8</v>
      </c>
      <c r="F325">
        <v>56.6</v>
      </c>
      <c r="G325">
        <v>48.9</v>
      </c>
      <c r="H325">
        <v>52.7</v>
      </c>
      <c r="I325">
        <v>55.3</v>
      </c>
      <c r="J325">
        <v>57.1</v>
      </c>
      <c r="K325">
        <v>56.4</v>
      </c>
      <c r="L325">
        <v>56</v>
      </c>
      <c r="M325">
        <v>53.8</v>
      </c>
      <c r="N325">
        <v>53.1</v>
      </c>
    </row>
    <row r="326" spans="3:14" x14ac:dyDescent="0.2">
      <c r="C326" t="s">
        <v>621</v>
      </c>
      <c r="D326">
        <v>261.89999999999998</v>
      </c>
      <c r="E326">
        <v>233</v>
      </c>
      <c r="F326">
        <v>266.10000000000002</v>
      </c>
      <c r="G326">
        <v>260.10000000000002</v>
      </c>
      <c r="H326">
        <v>228.6</v>
      </c>
      <c r="I326">
        <v>166.6</v>
      </c>
      <c r="J326">
        <v>90.6</v>
      </c>
      <c r="K326">
        <v>0</v>
      </c>
      <c r="L326">
        <v>0</v>
      </c>
      <c r="M326">
        <v>0</v>
      </c>
      <c r="N326">
        <v>0</v>
      </c>
    </row>
    <row r="327" spans="3:14" x14ac:dyDescent="0.2">
      <c r="C327" t="s">
        <v>132</v>
      </c>
      <c r="D327">
        <v>138.19999999999999</v>
      </c>
      <c r="E327">
        <v>123.6</v>
      </c>
      <c r="F327">
        <v>127.5</v>
      </c>
      <c r="G327">
        <v>140.4</v>
      </c>
      <c r="H327">
        <v>151.1</v>
      </c>
      <c r="I327">
        <v>152.5</v>
      </c>
      <c r="J327">
        <v>153.6</v>
      </c>
      <c r="K327">
        <v>154.9</v>
      </c>
      <c r="L327">
        <v>156.4</v>
      </c>
      <c r="M327">
        <v>157.69999999999999</v>
      </c>
      <c r="N327">
        <v>158.9</v>
      </c>
    </row>
    <row r="328" spans="3:14" x14ac:dyDescent="0.2">
      <c r="C328" t="s">
        <v>622</v>
      </c>
      <c r="D328">
        <v>0</v>
      </c>
      <c r="E328">
        <v>0</v>
      </c>
      <c r="F328">
        <v>0.1</v>
      </c>
      <c r="G328">
        <v>1.3</v>
      </c>
      <c r="H328">
        <v>2.4</v>
      </c>
      <c r="I328">
        <v>3.6</v>
      </c>
      <c r="J328">
        <v>5.3</v>
      </c>
      <c r="K328">
        <v>6.3</v>
      </c>
      <c r="L328">
        <v>9.3000000000000007</v>
      </c>
      <c r="M328">
        <v>12.3</v>
      </c>
      <c r="N328">
        <v>15.3</v>
      </c>
    </row>
    <row r="329" spans="3:14" x14ac:dyDescent="0.2">
      <c r="C329" t="s">
        <v>623</v>
      </c>
      <c r="D329">
        <v>0</v>
      </c>
      <c r="E329">
        <v>0.1</v>
      </c>
      <c r="F329">
        <v>0.3</v>
      </c>
      <c r="G329">
        <v>1</v>
      </c>
      <c r="H329">
        <v>1.9</v>
      </c>
      <c r="I329">
        <v>3.5</v>
      </c>
      <c r="J329">
        <v>6.9</v>
      </c>
      <c r="K329">
        <v>16</v>
      </c>
      <c r="L329">
        <v>24.3</v>
      </c>
      <c r="M329">
        <v>33.200000000000003</v>
      </c>
      <c r="N329">
        <v>40</v>
      </c>
    </row>
    <row r="330" spans="3:14" x14ac:dyDescent="0.2">
      <c r="C330" t="s">
        <v>47</v>
      </c>
      <c r="D330">
        <v>0</v>
      </c>
      <c r="E330">
        <v>0</v>
      </c>
      <c r="F330">
        <v>0</v>
      </c>
      <c r="G330">
        <v>0.4</v>
      </c>
      <c r="H330">
        <v>0.7</v>
      </c>
      <c r="I330">
        <v>1.4</v>
      </c>
      <c r="J330">
        <v>2.8</v>
      </c>
      <c r="K330">
        <v>5.0999999999999996</v>
      </c>
      <c r="L330">
        <v>8.6999999999999993</v>
      </c>
      <c r="M330">
        <v>12.5</v>
      </c>
      <c r="N330">
        <v>15.8</v>
      </c>
    </row>
    <row r="331" spans="3:14" x14ac:dyDescent="0.2">
      <c r="C331" t="s">
        <v>624</v>
      </c>
      <c r="D331">
        <v>458.3</v>
      </c>
      <c r="E331">
        <v>425.1</v>
      </c>
      <c r="F331">
        <v>470.3</v>
      </c>
      <c r="G331">
        <v>481.8</v>
      </c>
      <c r="H331">
        <v>487.8</v>
      </c>
      <c r="I331">
        <v>464.5</v>
      </c>
      <c r="J331">
        <v>424.8</v>
      </c>
      <c r="K331">
        <v>411.8</v>
      </c>
      <c r="L331">
        <v>407.3</v>
      </c>
      <c r="M331">
        <v>406.3</v>
      </c>
      <c r="N331">
        <v>413.1</v>
      </c>
    </row>
    <row r="332" spans="3:14" x14ac:dyDescent="0.2">
      <c r="C332" t="s">
        <v>625</v>
      </c>
      <c r="D332">
        <v>-26.5</v>
      </c>
      <c r="E332">
        <v>15.2</v>
      </c>
      <c r="F332">
        <v>7.4</v>
      </c>
      <c r="G332">
        <v>3.7</v>
      </c>
      <c r="H332">
        <v>8.9</v>
      </c>
      <c r="I332">
        <v>12.1</v>
      </c>
      <c r="J332">
        <v>19.7</v>
      </c>
      <c r="K332">
        <v>1.3</v>
      </c>
      <c r="L332">
        <v>2.2999999999999998</v>
      </c>
      <c r="M332">
        <v>-0.2</v>
      </c>
      <c r="N332">
        <v>-5.7</v>
      </c>
    </row>
    <row r="333" spans="3:14" x14ac:dyDescent="0.2">
      <c r="C333" t="s">
        <v>626</v>
      </c>
      <c r="D333">
        <v>-7.5</v>
      </c>
      <c r="E333">
        <v>-8.1999999999999993</v>
      </c>
      <c r="F333">
        <v>-9.5</v>
      </c>
      <c r="G333">
        <v>-14.3</v>
      </c>
      <c r="H333">
        <v>-19.399999999999999</v>
      </c>
      <c r="I333">
        <v>-25.3</v>
      </c>
      <c r="J333">
        <v>-29.9</v>
      </c>
      <c r="K333">
        <v>-29.8</v>
      </c>
      <c r="L333">
        <v>-29.2</v>
      </c>
      <c r="M333">
        <v>-28.9</v>
      </c>
      <c r="N333">
        <v>-28.3</v>
      </c>
    </row>
    <row r="334" spans="3:14" x14ac:dyDescent="0.2">
      <c r="C334" t="s">
        <v>627</v>
      </c>
      <c r="D334">
        <v>424.3</v>
      </c>
      <c r="E334">
        <v>432.2</v>
      </c>
      <c r="F334">
        <v>468.1</v>
      </c>
      <c r="G334">
        <v>471.2</v>
      </c>
      <c r="H334">
        <v>477.2</v>
      </c>
      <c r="I334">
        <v>451.3</v>
      </c>
      <c r="J334">
        <v>414.7</v>
      </c>
      <c r="K334">
        <v>383.3</v>
      </c>
      <c r="L334">
        <v>380.4</v>
      </c>
      <c r="M334">
        <v>377.2</v>
      </c>
      <c r="N334">
        <v>379.1</v>
      </c>
    </row>
    <row r="335" spans="3:14" x14ac:dyDescent="0.2">
      <c r="C335" t="s">
        <v>628</v>
      </c>
      <c r="D335" s="75">
        <v>0.60099999999999998</v>
      </c>
      <c r="E335" s="75">
        <v>0.58099999999999996</v>
      </c>
      <c r="F335" s="75">
        <v>0.59499999999999997</v>
      </c>
      <c r="G335" s="75">
        <v>0.57799999999999996</v>
      </c>
      <c r="H335" s="75">
        <v>0.53200000000000003</v>
      </c>
      <c r="I335" s="75">
        <v>0.46600000000000003</v>
      </c>
      <c r="J335" s="75">
        <v>0.374</v>
      </c>
      <c r="K335" s="75">
        <v>0.31900000000000001</v>
      </c>
      <c r="L335" s="75">
        <v>0.27300000000000002</v>
      </c>
      <c r="M335" s="75">
        <v>0.23799999999999999</v>
      </c>
      <c r="N335" s="75">
        <v>0.222</v>
      </c>
    </row>
    <row r="338" spans="2:14" s="2" customFormat="1" ht="15" x14ac:dyDescent="0.25">
      <c r="C338" s="9" t="s">
        <v>637</v>
      </c>
      <c r="D338" s="2" t="s">
        <v>638</v>
      </c>
    </row>
    <row r="339" spans="2:14" s="2" customFormat="1" ht="15" x14ac:dyDescent="0.25">
      <c r="B339" s="2" t="s">
        <v>631</v>
      </c>
    </row>
    <row r="340" spans="2:14" s="2" customFormat="1" ht="15" x14ac:dyDescent="0.25">
      <c r="B340" s="13" t="s">
        <v>567</v>
      </c>
      <c r="D340" s="2">
        <v>2000</v>
      </c>
      <c r="E340" s="2">
        <v>2005</v>
      </c>
      <c r="F340" s="2">
        <v>2010</v>
      </c>
      <c r="G340" s="2">
        <v>2015</v>
      </c>
      <c r="H340" s="2">
        <v>2020</v>
      </c>
      <c r="I340" s="2">
        <v>2025</v>
      </c>
      <c r="J340" s="2">
        <v>2030</v>
      </c>
      <c r="K340" s="2">
        <v>2035</v>
      </c>
      <c r="L340" s="2">
        <v>2040</v>
      </c>
      <c r="M340" s="2">
        <v>2045</v>
      </c>
      <c r="N340" s="2">
        <v>2050</v>
      </c>
    </row>
    <row r="341" spans="2:14" x14ac:dyDescent="0.2">
      <c r="C341" t="s">
        <v>568</v>
      </c>
      <c r="D341">
        <v>38.380000000000003</v>
      </c>
      <c r="E341">
        <v>34.340000000000003</v>
      </c>
      <c r="F341">
        <v>35.42</v>
      </c>
      <c r="G341">
        <v>38.76</v>
      </c>
      <c r="H341">
        <v>41.48</v>
      </c>
      <c r="I341">
        <v>41.65</v>
      </c>
      <c r="J341">
        <v>41.77</v>
      </c>
      <c r="K341">
        <v>41.75</v>
      </c>
      <c r="L341">
        <v>41.86</v>
      </c>
      <c r="M341">
        <v>41.6</v>
      </c>
      <c r="N341">
        <v>41.58</v>
      </c>
    </row>
    <row r="342" spans="2:14" x14ac:dyDescent="0.2">
      <c r="C342" t="s">
        <v>602</v>
      </c>
      <c r="D342">
        <v>38.380000000000003</v>
      </c>
      <c r="E342">
        <v>34.340000000000003</v>
      </c>
      <c r="F342">
        <v>35.42</v>
      </c>
      <c r="G342">
        <v>36.950000000000003</v>
      </c>
      <c r="H342">
        <v>36.869999999999997</v>
      </c>
      <c r="I342">
        <v>36.83</v>
      </c>
      <c r="J342">
        <v>36.75</v>
      </c>
      <c r="K342">
        <v>36.54</v>
      </c>
      <c r="L342">
        <v>36.409999999999997</v>
      </c>
      <c r="M342">
        <v>35.85</v>
      </c>
      <c r="N342">
        <v>35.57</v>
      </c>
    </row>
    <row r="343" spans="2:14" x14ac:dyDescent="0.2">
      <c r="C343" t="s">
        <v>603</v>
      </c>
      <c r="D343" t="s">
        <v>3</v>
      </c>
      <c r="E343" t="s">
        <v>3</v>
      </c>
      <c r="F343" t="s">
        <v>3</v>
      </c>
      <c r="G343">
        <v>1.81</v>
      </c>
      <c r="H343">
        <v>4.6100000000000003</v>
      </c>
      <c r="I343">
        <v>4.82</v>
      </c>
      <c r="J343">
        <v>5.01</v>
      </c>
      <c r="K343">
        <v>5.21</v>
      </c>
      <c r="L343">
        <v>5.45</v>
      </c>
      <c r="M343">
        <v>5.75</v>
      </c>
      <c r="N343">
        <v>6.01</v>
      </c>
    </row>
    <row r="344" spans="2:14" x14ac:dyDescent="0.2">
      <c r="C344" t="s">
        <v>571</v>
      </c>
      <c r="D344">
        <v>24.73</v>
      </c>
      <c r="E344">
        <v>21.9</v>
      </c>
      <c r="F344">
        <v>25.13</v>
      </c>
      <c r="G344">
        <v>24.58</v>
      </c>
      <c r="H344">
        <v>21.68</v>
      </c>
      <c r="I344">
        <v>15.98</v>
      </c>
      <c r="J344">
        <v>8.81</v>
      </c>
      <c r="K344" t="s">
        <v>572</v>
      </c>
      <c r="L344" t="s">
        <v>3</v>
      </c>
      <c r="M344" t="s">
        <v>3</v>
      </c>
      <c r="N344" t="s">
        <v>3</v>
      </c>
    </row>
    <row r="345" spans="2:14" x14ac:dyDescent="0.2">
      <c r="C345" t="s">
        <v>604</v>
      </c>
      <c r="D345">
        <v>1.79</v>
      </c>
      <c r="E345">
        <v>2.0699999999999998</v>
      </c>
      <c r="F345">
        <v>2.1800000000000002</v>
      </c>
      <c r="G345">
        <v>2.65</v>
      </c>
      <c r="H345">
        <v>3.83</v>
      </c>
      <c r="I345">
        <v>6.39</v>
      </c>
      <c r="J345">
        <v>8.94</v>
      </c>
      <c r="K345">
        <v>19.22</v>
      </c>
      <c r="L345">
        <v>16.89</v>
      </c>
      <c r="M345">
        <v>15.49</v>
      </c>
      <c r="N345">
        <v>13.27</v>
      </c>
    </row>
    <row r="346" spans="2:14" x14ac:dyDescent="0.2">
      <c r="C346" t="s">
        <v>605</v>
      </c>
      <c r="D346">
        <v>1.79</v>
      </c>
      <c r="E346">
        <v>2.0699999999999998</v>
      </c>
      <c r="F346">
        <v>2.1800000000000002</v>
      </c>
      <c r="G346">
        <v>1.76</v>
      </c>
      <c r="H346">
        <v>1.48</v>
      </c>
      <c r="I346">
        <v>0.92</v>
      </c>
      <c r="J346">
        <v>0.57999999999999996</v>
      </c>
      <c r="K346">
        <v>0.32</v>
      </c>
      <c r="L346" t="s">
        <v>572</v>
      </c>
      <c r="M346" t="s">
        <v>3</v>
      </c>
      <c r="N346" t="s">
        <v>3</v>
      </c>
    </row>
    <row r="347" spans="2:14" x14ac:dyDescent="0.2">
      <c r="C347" t="s">
        <v>606</v>
      </c>
      <c r="D347" t="s">
        <v>572</v>
      </c>
      <c r="E347" t="s">
        <v>572</v>
      </c>
      <c r="F347" t="s">
        <v>3</v>
      </c>
      <c r="G347" t="s">
        <v>3</v>
      </c>
      <c r="H347">
        <v>0.86</v>
      </c>
      <c r="I347">
        <v>3.26</v>
      </c>
      <c r="J347">
        <v>5.66</v>
      </c>
      <c r="K347">
        <v>15.98</v>
      </c>
      <c r="L347">
        <v>13.79</v>
      </c>
      <c r="M347">
        <v>12.38</v>
      </c>
      <c r="N347">
        <v>10.16</v>
      </c>
    </row>
    <row r="348" spans="2:14" x14ac:dyDescent="0.2">
      <c r="C348" t="s">
        <v>607</v>
      </c>
      <c r="D348" t="s">
        <v>3</v>
      </c>
      <c r="E348" t="s">
        <v>3</v>
      </c>
      <c r="F348" t="s">
        <v>3</v>
      </c>
      <c r="G348">
        <v>0.89</v>
      </c>
      <c r="H348">
        <v>1.49</v>
      </c>
      <c r="I348">
        <v>2.2000000000000002</v>
      </c>
      <c r="J348">
        <v>2.7</v>
      </c>
      <c r="K348">
        <v>2.92</v>
      </c>
      <c r="L348">
        <v>3.1</v>
      </c>
      <c r="M348">
        <v>3.11</v>
      </c>
      <c r="N348">
        <v>3.11</v>
      </c>
    </row>
    <row r="349" spans="2:14" x14ac:dyDescent="0.2">
      <c r="C349" t="s">
        <v>608</v>
      </c>
      <c r="D349">
        <v>0.81</v>
      </c>
      <c r="E349">
        <v>1.01</v>
      </c>
      <c r="F349">
        <v>1.38</v>
      </c>
      <c r="G349">
        <v>1.83</v>
      </c>
      <c r="H349">
        <v>2.37</v>
      </c>
      <c r="I349">
        <v>3.15</v>
      </c>
      <c r="J349">
        <v>4.28</v>
      </c>
      <c r="K349">
        <v>6.13</v>
      </c>
      <c r="L349">
        <v>7.37</v>
      </c>
      <c r="M349">
        <v>8.9</v>
      </c>
      <c r="N349">
        <v>10.25</v>
      </c>
    </row>
    <row r="350" spans="2:14" x14ac:dyDescent="0.2">
      <c r="C350" t="s">
        <v>609</v>
      </c>
      <c r="D350">
        <v>0.81</v>
      </c>
      <c r="E350">
        <v>1.01</v>
      </c>
      <c r="F350">
        <v>1.38</v>
      </c>
      <c r="G350">
        <v>1.03</v>
      </c>
      <c r="H350">
        <v>0.92</v>
      </c>
      <c r="I350">
        <v>0.7</v>
      </c>
      <c r="J350">
        <v>0.4</v>
      </c>
      <c r="K350">
        <v>0.1</v>
      </c>
      <c r="L350">
        <v>0.01</v>
      </c>
      <c r="M350" t="s">
        <v>3</v>
      </c>
      <c r="N350" t="s">
        <v>3</v>
      </c>
    </row>
    <row r="351" spans="2:14" x14ac:dyDescent="0.2">
      <c r="C351" t="s">
        <v>610</v>
      </c>
      <c r="D351" t="s">
        <v>572</v>
      </c>
      <c r="E351" t="s">
        <v>3</v>
      </c>
      <c r="F351" t="s">
        <v>3</v>
      </c>
      <c r="G351">
        <v>0.8</v>
      </c>
      <c r="H351">
        <v>1.45</v>
      </c>
      <c r="I351">
        <v>2.4500000000000002</v>
      </c>
      <c r="J351">
        <v>3.88</v>
      </c>
      <c r="K351">
        <v>6.03</v>
      </c>
      <c r="L351">
        <v>7.36</v>
      </c>
      <c r="M351">
        <v>8.9</v>
      </c>
      <c r="N351">
        <v>10.25</v>
      </c>
    </row>
    <row r="352" spans="2:14" x14ac:dyDescent="0.2">
      <c r="C352" t="s">
        <v>580</v>
      </c>
      <c r="D352">
        <v>0.01</v>
      </c>
      <c r="E352">
        <v>0.02</v>
      </c>
      <c r="F352">
        <v>0.08</v>
      </c>
      <c r="G352">
        <v>0.21</v>
      </c>
      <c r="H352">
        <v>0.34</v>
      </c>
      <c r="I352">
        <v>0.55000000000000004</v>
      </c>
      <c r="J352">
        <v>0.96</v>
      </c>
      <c r="K352">
        <v>2.52</v>
      </c>
      <c r="L352">
        <v>3.48</v>
      </c>
      <c r="M352">
        <v>4.7300000000000004</v>
      </c>
      <c r="N352">
        <v>5.92</v>
      </c>
    </row>
    <row r="353" spans="3:14" x14ac:dyDescent="0.2">
      <c r="C353" t="s">
        <v>581</v>
      </c>
      <c r="D353">
        <v>0</v>
      </c>
      <c r="E353">
        <v>0.01</v>
      </c>
      <c r="F353">
        <v>0.04</v>
      </c>
      <c r="G353">
        <v>0.09</v>
      </c>
      <c r="H353">
        <v>0.14000000000000001</v>
      </c>
      <c r="I353">
        <v>0.25</v>
      </c>
      <c r="J353">
        <v>0.56999999999999995</v>
      </c>
      <c r="K353">
        <v>0.77</v>
      </c>
      <c r="L353">
        <v>1.02</v>
      </c>
      <c r="M353">
        <v>1.25</v>
      </c>
      <c r="N353">
        <v>1.41</v>
      </c>
    </row>
    <row r="354" spans="3:14" x14ac:dyDescent="0.2">
      <c r="C354" t="s">
        <v>582</v>
      </c>
      <c r="D354" t="s">
        <v>572</v>
      </c>
      <c r="E354" t="s">
        <v>572</v>
      </c>
      <c r="F354" t="s">
        <v>3</v>
      </c>
      <c r="G354" t="s">
        <v>3</v>
      </c>
      <c r="H354" t="s">
        <v>3</v>
      </c>
      <c r="I354" t="s">
        <v>3</v>
      </c>
      <c r="J354" t="s">
        <v>3</v>
      </c>
      <c r="K354" t="s">
        <v>3</v>
      </c>
      <c r="L354" t="s">
        <v>3</v>
      </c>
      <c r="M354" t="s">
        <v>3</v>
      </c>
      <c r="N354" t="s">
        <v>3</v>
      </c>
    </row>
    <row r="355" spans="3:14" x14ac:dyDescent="0.2">
      <c r="C355" t="s">
        <v>47</v>
      </c>
      <c r="D355" t="s">
        <v>572</v>
      </c>
      <c r="E355" t="s">
        <v>572</v>
      </c>
      <c r="F355" t="s">
        <v>3</v>
      </c>
      <c r="G355">
        <v>0.03</v>
      </c>
      <c r="H355">
        <v>0.1</v>
      </c>
      <c r="I355">
        <v>0.2</v>
      </c>
      <c r="J355">
        <v>0.33</v>
      </c>
      <c r="K355">
        <v>0.39</v>
      </c>
      <c r="L355">
        <v>0.39</v>
      </c>
      <c r="M355">
        <v>0.42</v>
      </c>
      <c r="N355">
        <v>0.42</v>
      </c>
    </row>
    <row r="356" spans="3:14" x14ac:dyDescent="0.2">
      <c r="C356" t="s">
        <v>583</v>
      </c>
      <c r="D356">
        <v>0.01</v>
      </c>
      <c r="E356">
        <v>0.03</v>
      </c>
      <c r="F356">
        <v>0.14000000000000001</v>
      </c>
      <c r="G356">
        <v>0.3</v>
      </c>
      <c r="H356">
        <v>0.42</v>
      </c>
      <c r="I356">
        <v>0.56999999999999995</v>
      </c>
      <c r="J356">
        <v>0.69</v>
      </c>
      <c r="K356">
        <v>0.65</v>
      </c>
      <c r="L356">
        <v>0.67</v>
      </c>
      <c r="M356">
        <v>0.68</v>
      </c>
      <c r="N356">
        <v>0.68</v>
      </c>
    </row>
    <row r="357" spans="3:14" x14ac:dyDescent="0.2">
      <c r="C357" t="s">
        <v>584</v>
      </c>
      <c r="D357">
        <v>0.01</v>
      </c>
      <c r="E357">
        <v>0.02</v>
      </c>
      <c r="F357">
        <v>0.08</v>
      </c>
      <c r="G357">
        <v>0.16</v>
      </c>
      <c r="H357">
        <v>0.26</v>
      </c>
      <c r="I357">
        <v>0.38</v>
      </c>
      <c r="J357">
        <v>0.48</v>
      </c>
      <c r="K357">
        <v>0.51</v>
      </c>
      <c r="L357">
        <v>0.52</v>
      </c>
      <c r="M357">
        <v>0.53</v>
      </c>
      <c r="N357">
        <v>0.53</v>
      </c>
    </row>
    <row r="358" spans="3:14" x14ac:dyDescent="0.2">
      <c r="C358" t="s">
        <v>585</v>
      </c>
      <c r="D358">
        <v>0.09</v>
      </c>
      <c r="E358">
        <v>0.11</v>
      </c>
      <c r="F358">
        <v>0.12</v>
      </c>
      <c r="G358">
        <v>0.1</v>
      </c>
      <c r="H358">
        <v>0.16</v>
      </c>
      <c r="I358">
        <v>0.22</v>
      </c>
      <c r="J358">
        <v>0.27</v>
      </c>
      <c r="K358">
        <v>0.28999999999999998</v>
      </c>
      <c r="L358">
        <v>0.28999999999999998</v>
      </c>
      <c r="M358">
        <v>0.3</v>
      </c>
      <c r="N358">
        <v>0.3</v>
      </c>
    </row>
    <row r="359" spans="3:14" x14ac:dyDescent="0.2">
      <c r="C359" t="s">
        <v>586</v>
      </c>
      <c r="D359">
        <v>0.63</v>
      </c>
      <c r="E359">
        <v>0.8</v>
      </c>
      <c r="F359">
        <v>0.92</v>
      </c>
      <c r="G359">
        <v>0.94</v>
      </c>
      <c r="H359">
        <v>0.94</v>
      </c>
      <c r="I359">
        <v>0.97</v>
      </c>
      <c r="J359">
        <v>0.98</v>
      </c>
      <c r="K359">
        <v>0.98</v>
      </c>
      <c r="L359">
        <v>0.99</v>
      </c>
      <c r="M359">
        <v>0.99</v>
      </c>
      <c r="N359">
        <v>0.99</v>
      </c>
    </row>
    <row r="360" spans="3:14" x14ac:dyDescent="0.2">
      <c r="C360" t="s">
        <v>587</v>
      </c>
      <c r="D360">
        <v>0.04</v>
      </c>
      <c r="E360">
        <v>0.02</v>
      </c>
      <c r="F360">
        <v>0</v>
      </c>
      <c r="G360">
        <v>0.01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</row>
    <row r="361" spans="3:14" x14ac:dyDescent="0.2">
      <c r="C361" t="s">
        <v>588</v>
      </c>
      <c r="D361" s="20">
        <f t="shared" ref="D361:J361" si="33">D341+D344+D345+D349</f>
        <v>65.710000000000008</v>
      </c>
      <c r="E361" s="20">
        <f t="shared" si="33"/>
        <v>59.32</v>
      </c>
      <c r="F361" s="20">
        <f t="shared" si="33"/>
        <v>64.11</v>
      </c>
      <c r="G361" s="20">
        <f t="shared" si="33"/>
        <v>67.819999999999993</v>
      </c>
      <c r="H361" s="20">
        <f t="shared" si="33"/>
        <v>69.36</v>
      </c>
      <c r="I361" s="20">
        <f t="shared" si="33"/>
        <v>67.17</v>
      </c>
      <c r="J361" s="20">
        <f t="shared" si="33"/>
        <v>63.800000000000004</v>
      </c>
      <c r="K361" s="20">
        <f>K341+K345+K349</f>
        <v>67.099999999999994</v>
      </c>
      <c r="L361" s="20">
        <f>L341+L345+L349</f>
        <v>66.12</v>
      </c>
      <c r="M361" s="20">
        <f>M341+M345+M349</f>
        <v>65.990000000000009</v>
      </c>
      <c r="N361" s="20">
        <f>N341+N345+N349</f>
        <v>65.099999999999994</v>
      </c>
    </row>
    <row r="362" spans="3:14" x14ac:dyDescent="0.2">
      <c r="C362" t="s">
        <v>611</v>
      </c>
      <c r="D362">
        <v>-2.2200000000000002</v>
      </c>
      <c r="E362">
        <v>-2.2200000000000002</v>
      </c>
      <c r="F362">
        <v>-2.56</v>
      </c>
      <c r="G362">
        <v>-4.34</v>
      </c>
      <c r="H362">
        <v>-7.54</v>
      </c>
      <c r="I362">
        <v>-7.54</v>
      </c>
      <c r="J362">
        <v>-7.54</v>
      </c>
      <c r="K362">
        <v>-7.54</v>
      </c>
      <c r="L362">
        <v>-7.54</v>
      </c>
      <c r="M362">
        <v>-7.54</v>
      </c>
      <c r="N362">
        <v>-7.54</v>
      </c>
    </row>
    <row r="363" spans="3:14" x14ac:dyDescent="0.2">
      <c r="C363" s="14" t="s">
        <v>590</v>
      </c>
      <c r="D363" s="32">
        <f>D361+D362</f>
        <v>63.490000000000009</v>
      </c>
      <c r="E363" s="32">
        <f t="shared" ref="E363:N363" si="34">E361+E362</f>
        <v>57.1</v>
      </c>
      <c r="F363" s="32">
        <f t="shared" si="34"/>
        <v>61.55</v>
      </c>
      <c r="G363" s="32">
        <f t="shared" si="34"/>
        <v>63.47999999999999</v>
      </c>
      <c r="H363" s="32">
        <f t="shared" si="34"/>
        <v>61.82</v>
      </c>
      <c r="I363" s="32">
        <f t="shared" si="34"/>
        <v>59.63</v>
      </c>
      <c r="J363" s="32">
        <f t="shared" si="34"/>
        <v>56.260000000000005</v>
      </c>
      <c r="K363" s="32">
        <f t="shared" si="34"/>
        <v>59.559999999999995</v>
      </c>
      <c r="L363" s="32">
        <f t="shared" si="34"/>
        <v>58.580000000000005</v>
      </c>
      <c r="M363" s="32">
        <f t="shared" si="34"/>
        <v>58.45000000000001</v>
      </c>
      <c r="N363" s="32">
        <f t="shared" si="34"/>
        <v>57.559999999999995</v>
      </c>
    </row>
    <row r="364" spans="3:14" x14ac:dyDescent="0.2">
      <c r="C364" t="s">
        <v>591</v>
      </c>
      <c r="D364">
        <v>18.72</v>
      </c>
      <c r="E364">
        <v>17.98</v>
      </c>
      <c r="F364">
        <v>17.239999999999998</v>
      </c>
      <c r="G364">
        <v>17.239999999999998</v>
      </c>
      <c r="H364">
        <v>10.06</v>
      </c>
      <c r="I364">
        <v>8.42</v>
      </c>
      <c r="J364">
        <v>8.42</v>
      </c>
      <c r="K364">
        <v>2.61</v>
      </c>
      <c r="L364">
        <v>1.3</v>
      </c>
      <c r="M364" t="s">
        <v>3</v>
      </c>
      <c r="N364" t="s">
        <v>572</v>
      </c>
    </row>
    <row r="365" spans="3:14" x14ac:dyDescent="0.2">
      <c r="C365" t="s">
        <v>592</v>
      </c>
      <c r="D365">
        <v>18.72</v>
      </c>
      <c r="E365">
        <v>17.98</v>
      </c>
      <c r="F365">
        <v>17.239999999999998</v>
      </c>
      <c r="G365">
        <v>17.239999999999998</v>
      </c>
      <c r="H365">
        <v>10.06</v>
      </c>
      <c r="I365">
        <v>8.42</v>
      </c>
      <c r="J365">
        <v>8.42</v>
      </c>
      <c r="K365">
        <v>2.61</v>
      </c>
      <c r="L365">
        <v>1.3</v>
      </c>
      <c r="M365" t="s">
        <v>3</v>
      </c>
      <c r="N365" t="s">
        <v>572</v>
      </c>
    </row>
    <row r="366" spans="3:14" x14ac:dyDescent="0.2">
      <c r="C366" t="s">
        <v>593</v>
      </c>
      <c r="D366" t="s">
        <v>572</v>
      </c>
      <c r="E366" t="s">
        <v>3</v>
      </c>
      <c r="F366" t="s">
        <v>3</v>
      </c>
      <c r="G366" t="s">
        <v>3</v>
      </c>
      <c r="H366" t="s">
        <v>3</v>
      </c>
      <c r="I366" t="s">
        <v>3</v>
      </c>
      <c r="J366" t="s">
        <v>3</v>
      </c>
      <c r="K366" t="s">
        <v>572</v>
      </c>
      <c r="L366" t="s">
        <v>3</v>
      </c>
      <c r="M366" t="s">
        <v>3</v>
      </c>
      <c r="N366" t="s">
        <v>3</v>
      </c>
    </row>
    <row r="367" spans="3:14" x14ac:dyDescent="0.2">
      <c r="C367" t="s">
        <v>594</v>
      </c>
      <c r="D367">
        <v>26.07</v>
      </c>
      <c r="E367">
        <v>13.75</v>
      </c>
      <c r="F367">
        <v>15.19</v>
      </c>
      <c r="G367">
        <v>16.170000000000002</v>
      </c>
      <c r="H367">
        <v>8.08</v>
      </c>
      <c r="I367">
        <v>5.96</v>
      </c>
      <c r="J367">
        <v>3.96</v>
      </c>
      <c r="K367">
        <v>2.2599999999999998</v>
      </c>
      <c r="L367">
        <v>0.66</v>
      </c>
      <c r="M367">
        <v>0</v>
      </c>
      <c r="N367">
        <v>0</v>
      </c>
    </row>
    <row r="368" spans="3:14" x14ac:dyDescent="0.2">
      <c r="C368" t="s">
        <v>612</v>
      </c>
      <c r="D368">
        <v>2.83</v>
      </c>
      <c r="E368">
        <v>2.2599999999999998</v>
      </c>
      <c r="F368">
        <v>2.2599999999999998</v>
      </c>
      <c r="G368">
        <v>2.2599999999999998</v>
      </c>
      <c r="H368">
        <v>2.2599999999999998</v>
      </c>
      <c r="I368">
        <v>2.2599999999999998</v>
      </c>
      <c r="J368">
        <v>2.2599999999999998</v>
      </c>
      <c r="K368">
        <v>2.2599999999999998</v>
      </c>
      <c r="L368">
        <v>0.66</v>
      </c>
      <c r="M368" t="s">
        <v>572</v>
      </c>
      <c r="N368" t="s">
        <v>3</v>
      </c>
    </row>
    <row r="369" spans="2:14" x14ac:dyDescent="0.2">
      <c r="C369" t="s">
        <v>596</v>
      </c>
      <c r="D369">
        <v>23.24</v>
      </c>
      <c r="E369">
        <v>11.49</v>
      </c>
      <c r="F369">
        <v>12.93</v>
      </c>
      <c r="G369">
        <v>13.91</v>
      </c>
      <c r="H369">
        <v>5.82</v>
      </c>
      <c r="I369">
        <v>3.7</v>
      </c>
      <c r="J369">
        <v>1.7</v>
      </c>
      <c r="K369">
        <v>0</v>
      </c>
      <c r="L369" t="s">
        <v>572</v>
      </c>
      <c r="M369">
        <v>0</v>
      </c>
      <c r="N369">
        <v>0</v>
      </c>
    </row>
    <row r="370" spans="2:14" x14ac:dyDescent="0.2">
      <c r="C370" s="14" t="s">
        <v>597</v>
      </c>
      <c r="D370" s="32">
        <f>D364-D367</f>
        <v>-7.3500000000000014</v>
      </c>
      <c r="E370" s="32">
        <f t="shared" ref="E370:L370" si="35">E364-E367</f>
        <v>4.2300000000000004</v>
      </c>
      <c r="F370" s="32">
        <f t="shared" si="35"/>
        <v>2.0499999999999989</v>
      </c>
      <c r="G370" s="32">
        <f t="shared" si="35"/>
        <v>1.0699999999999967</v>
      </c>
      <c r="H370" s="32">
        <f t="shared" si="35"/>
        <v>1.9800000000000004</v>
      </c>
      <c r="I370" s="32">
        <f t="shared" si="35"/>
        <v>2.46</v>
      </c>
      <c r="J370" s="32">
        <f t="shared" si="35"/>
        <v>4.46</v>
      </c>
      <c r="K370" s="32">
        <f t="shared" si="35"/>
        <v>0.35000000000000009</v>
      </c>
      <c r="L370" s="32">
        <f t="shared" si="35"/>
        <v>0.64</v>
      </c>
      <c r="M370" s="32">
        <v>0</v>
      </c>
      <c r="N370" s="32">
        <v>0</v>
      </c>
    </row>
    <row r="371" spans="2:14" x14ac:dyDescent="0.2">
      <c r="C371" t="s">
        <v>598</v>
      </c>
      <c r="D371" s="20">
        <f>D363+D370</f>
        <v>56.140000000000008</v>
      </c>
      <c r="E371" s="20">
        <f t="shared" ref="E371:N371" si="36">E363+E370</f>
        <v>61.33</v>
      </c>
      <c r="F371" s="20">
        <f t="shared" si="36"/>
        <v>63.599999999999994</v>
      </c>
      <c r="G371" s="20">
        <f t="shared" si="36"/>
        <v>64.549999999999983</v>
      </c>
      <c r="H371" s="20">
        <f t="shared" si="36"/>
        <v>63.8</v>
      </c>
      <c r="I371" s="20">
        <f t="shared" si="36"/>
        <v>62.09</v>
      </c>
      <c r="J371" s="20">
        <f t="shared" si="36"/>
        <v>60.720000000000006</v>
      </c>
      <c r="K371" s="20">
        <f t="shared" si="36"/>
        <v>59.91</v>
      </c>
      <c r="L371" s="20">
        <f t="shared" si="36"/>
        <v>59.220000000000006</v>
      </c>
      <c r="M371" s="20">
        <f t="shared" si="36"/>
        <v>58.45000000000001</v>
      </c>
      <c r="N371" s="20">
        <f t="shared" si="36"/>
        <v>57.559999999999995</v>
      </c>
    </row>
    <row r="373" spans="2:14" x14ac:dyDescent="0.2">
      <c r="C373" t="s">
        <v>599</v>
      </c>
      <c r="D373">
        <v>61.18</v>
      </c>
      <c r="E373">
        <v>65.81</v>
      </c>
      <c r="F373">
        <v>68.41</v>
      </c>
      <c r="G373">
        <v>71.14</v>
      </c>
      <c r="H373">
        <v>73.61</v>
      </c>
      <c r="I373">
        <v>71.900000000000006</v>
      </c>
      <c r="J373">
        <v>70.52</v>
      </c>
      <c r="K373">
        <v>69.709999999999994</v>
      </c>
      <c r="L373">
        <v>67.42</v>
      </c>
      <c r="M373">
        <v>65.98</v>
      </c>
      <c r="N373">
        <v>65.099999999999994</v>
      </c>
    </row>
    <row r="379" spans="2:14" s="2" customFormat="1" ht="15" x14ac:dyDescent="0.25">
      <c r="C379" s="9" t="s">
        <v>639</v>
      </c>
      <c r="D379" s="2" t="s">
        <v>638</v>
      </c>
    </row>
    <row r="380" spans="2:14" s="2" customFormat="1" ht="15" x14ac:dyDescent="0.25">
      <c r="B380" s="2" t="s">
        <v>600</v>
      </c>
    </row>
    <row r="381" spans="2:14" s="2" customFormat="1" ht="15" x14ac:dyDescent="0.25">
      <c r="B381" s="13" t="s">
        <v>601</v>
      </c>
      <c r="D381" s="2">
        <v>2000</v>
      </c>
      <c r="E381" s="2">
        <v>2005</v>
      </c>
      <c r="F381" s="2">
        <v>2010</v>
      </c>
      <c r="G381" s="2">
        <v>2015</v>
      </c>
      <c r="H381" s="2">
        <v>2020</v>
      </c>
      <c r="I381" s="2">
        <v>2025</v>
      </c>
      <c r="J381" s="2">
        <v>2030</v>
      </c>
      <c r="K381" s="2">
        <v>2035</v>
      </c>
      <c r="L381" s="2">
        <v>2040</v>
      </c>
      <c r="M381" s="2">
        <v>2045</v>
      </c>
      <c r="N381" s="2">
        <v>2050</v>
      </c>
    </row>
    <row r="382" spans="2:14" x14ac:dyDescent="0.2">
      <c r="C382" t="s">
        <v>568</v>
      </c>
      <c r="D382">
        <v>17.71</v>
      </c>
      <c r="E382">
        <v>15.56</v>
      </c>
      <c r="F382">
        <v>14.16</v>
      </c>
      <c r="G382">
        <v>16.989999999999998</v>
      </c>
      <c r="H382">
        <v>18.8</v>
      </c>
      <c r="I382">
        <v>19.04</v>
      </c>
      <c r="J382">
        <v>19.25</v>
      </c>
      <c r="K382">
        <v>19.41</v>
      </c>
      <c r="L382">
        <v>19.62</v>
      </c>
      <c r="M382">
        <v>19.670000000000002</v>
      </c>
      <c r="N382">
        <v>19.87</v>
      </c>
    </row>
    <row r="383" spans="2:14" x14ac:dyDescent="0.2">
      <c r="C383" t="s">
        <v>602</v>
      </c>
      <c r="D383">
        <v>17.71</v>
      </c>
      <c r="E383">
        <v>15.56</v>
      </c>
      <c r="F383">
        <v>14.16</v>
      </c>
      <c r="G383">
        <v>15.95</v>
      </c>
      <c r="H383">
        <v>16.09</v>
      </c>
      <c r="I383">
        <v>16.239999999999998</v>
      </c>
      <c r="J383">
        <v>16.39</v>
      </c>
      <c r="K383">
        <v>16.47</v>
      </c>
      <c r="L383">
        <v>16.59</v>
      </c>
      <c r="M383">
        <v>16.53</v>
      </c>
      <c r="N383">
        <v>16.63</v>
      </c>
    </row>
    <row r="384" spans="2:14" x14ac:dyDescent="0.2">
      <c r="C384" t="s">
        <v>603</v>
      </c>
      <c r="D384" t="s">
        <v>572</v>
      </c>
      <c r="E384" t="s">
        <v>3</v>
      </c>
      <c r="F384" t="s">
        <v>3</v>
      </c>
      <c r="G384">
        <v>1.04</v>
      </c>
      <c r="H384">
        <v>2.72</v>
      </c>
      <c r="I384">
        <v>2.79</v>
      </c>
      <c r="J384">
        <v>2.86</v>
      </c>
      <c r="K384">
        <v>2.94</v>
      </c>
      <c r="L384">
        <v>3.02</v>
      </c>
      <c r="M384">
        <v>3.14</v>
      </c>
      <c r="N384">
        <v>3.24</v>
      </c>
    </row>
    <row r="385" spans="3:14" x14ac:dyDescent="0.2">
      <c r="C385" t="s">
        <v>571</v>
      </c>
      <c r="D385">
        <v>13.72</v>
      </c>
      <c r="E385">
        <v>13.94</v>
      </c>
      <c r="F385">
        <v>14.17</v>
      </c>
      <c r="G385">
        <v>13.5</v>
      </c>
      <c r="H385">
        <v>11.91</v>
      </c>
      <c r="I385">
        <v>8.7799999999999994</v>
      </c>
      <c r="J385">
        <v>4.84</v>
      </c>
      <c r="K385" t="s">
        <v>3</v>
      </c>
      <c r="L385" t="s">
        <v>3</v>
      </c>
      <c r="M385" t="s">
        <v>3</v>
      </c>
      <c r="N385" t="s">
        <v>3</v>
      </c>
    </row>
    <row r="386" spans="3:14" x14ac:dyDescent="0.2">
      <c r="C386" t="s">
        <v>604</v>
      </c>
      <c r="D386">
        <v>1.1100000000000001</v>
      </c>
      <c r="E386">
        <v>1.25</v>
      </c>
      <c r="F386">
        <v>1.3</v>
      </c>
      <c r="G386">
        <v>1.6</v>
      </c>
      <c r="H386">
        <v>2.67</v>
      </c>
      <c r="I386">
        <v>5.2</v>
      </c>
      <c r="J386">
        <v>7.71</v>
      </c>
      <c r="K386">
        <v>14.59</v>
      </c>
      <c r="L386">
        <v>13.59</v>
      </c>
      <c r="M386">
        <v>13.02</v>
      </c>
      <c r="N386">
        <v>11.99</v>
      </c>
    </row>
    <row r="387" spans="3:14" x14ac:dyDescent="0.2">
      <c r="C387" t="s">
        <v>605</v>
      </c>
      <c r="D387">
        <v>1.1100000000000001</v>
      </c>
      <c r="E387">
        <v>1.25</v>
      </c>
      <c r="F387">
        <v>1.3</v>
      </c>
      <c r="G387">
        <v>1.05</v>
      </c>
      <c r="H387">
        <v>0.86</v>
      </c>
      <c r="I387">
        <v>0.53</v>
      </c>
      <c r="J387">
        <v>0.34</v>
      </c>
      <c r="K387">
        <v>0.18</v>
      </c>
      <c r="L387" t="s">
        <v>3</v>
      </c>
      <c r="M387" t="s">
        <v>3</v>
      </c>
      <c r="N387" t="s">
        <v>3</v>
      </c>
    </row>
    <row r="388" spans="3:14" x14ac:dyDescent="0.2">
      <c r="C388" t="s">
        <v>606</v>
      </c>
      <c r="D388" t="s">
        <v>3</v>
      </c>
      <c r="E388" t="s">
        <v>3</v>
      </c>
      <c r="F388" t="s">
        <v>3</v>
      </c>
      <c r="G388" t="s">
        <v>3</v>
      </c>
      <c r="H388">
        <v>0.86</v>
      </c>
      <c r="I388">
        <v>3.26</v>
      </c>
      <c r="J388">
        <v>5.66</v>
      </c>
      <c r="K388">
        <v>12.58</v>
      </c>
      <c r="L388">
        <v>11.65</v>
      </c>
      <c r="M388">
        <v>11.07</v>
      </c>
      <c r="N388">
        <v>10.039999999999999</v>
      </c>
    </row>
    <row r="389" spans="3:14" x14ac:dyDescent="0.2">
      <c r="C389" t="s">
        <v>607</v>
      </c>
      <c r="D389" t="s">
        <v>3</v>
      </c>
      <c r="E389" t="s">
        <v>3</v>
      </c>
      <c r="F389" t="s">
        <v>3</v>
      </c>
      <c r="G389">
        <v>0.55000000000000004</v>
      </c>
      <c r="H389">
        <v>0.95</v>
      </c>
      <c r="I389">
        <v>1.4</v>
      </c>
      <c r="J389">
        <v>1.71</v>
      </c>
      <c r="K389">
        <v>1.84</v>
      </c>
      <c r="L389">
        <v>1.95</v>
      </c>
      <c r="M389">
        <v>1.95</v>
      </c>
      <c r="N389">
        <v>1.95</v>
      </c>
    </row>
    <row r="390" spans="3:14" x14ac:dyDescent="0.2">
      <c r="C390" t="s">
        <v>608</v>
      </c>
      <c r="D390">
        <v>0.45</v>
      </c>
      <c r="E390">
        <v>0.55000000000000004</v>
      </c>
      <c r="F390">
        <v>0.76</v>
      </c>
      <c r="G390">
        <v>1.01</v>
      </c>
      <c r="H390">
        <v>1.29</v>
      </c>
      <c r="I390">
        <v>1.69</v>
      </c>
      <c r="J390">
        <v>2.23</v>
      </c>
      <c r="K390">
        <v>2.81</v>
      </c>
      <c r="L390">
        <v>3.24</v>
      </c>
      <c r="M390">
        <v>3.74</v>
      </c>
      <c r="N390">
        <v>4.16</v>
      </c>
    </row>
    <row r="391" spans="3:14" x14ac:dyDescent="0.2">
      <c r="C391" t="s">
        <v>609</v>
      </c>
      <c r="D391">
        <v>0.45</v>
      </c>
      <c r="E391">
        <v>0.55000000000000004</v>
      </c>
      <c r="F391">
        <v>0.76</v>
      </c>
      <c r="G391">
        <v>0.56000000000000005</v>
      </c>
      <c r="H391">
        <v>0.5</v>
      </c>
      <c r="I391">
        <v>0.38</v>
      </c>
      <c r="J391">
        <v>0.21</v>
      </c>
      <c r="K391">
        <v>0.05</v>
      </c>
      <c r="L391">
        <v>0</v>
      </c>
      <c r="M391" t="s">
        <v>3</v>
      </c>
      <c r="N391" t="s">
        <v>3</v>
      </c>
    </row>
    <row r="392" spans="3:14" x14ac:dyDescent="0.2">
      <c r="C392" t="s">
        <v>610</v>
      </c>
      <c r="D392" t="s">
        <v>3</v>
      </c>
      <c r="E392" t="s">
        <v>3</v>
      </c>
      <c r="F392" t="s">
        <v>3</v>
      </c>
      <c r="G392">
        <v>0.45</v>
      </c>
      <c r="H392">
        <v>0.79</v>
      </c>
      <c r="I392">
        <v>1.31</v>
      </c>
      <c r="J392">
        <v>2.02</v>
      </c>
      <c r="K392">
        <v>2.75</v>
      </c>
      <c r="L392">
        <v>3.24</v>
      </c>
      <c r="M392">
        <v>3.74</v>
      </c>
      <c r="N392">
        <v>4.16</v>
      </c>
    </row>
    <row r="393" spans="3:14" x14ac:dyDescent="0.2">
      <c r="C393" t="s">
        <v>580</v>
      </c>
      <c r="D393">
        <v>0</v>
      </c>
      <c r="E393">
        <v>0.01</v>
      </c>
      <c r="F393">
        <v>0.02</v>
      </c>
      <c r="G393">
        <v>0.06</v>
      </c>
      <c r="H393">
        <v>0.09</v>
      </c>
      <c r="I393">
        <v>0.15</v>
      </c>
      <c r="J393">
        <v>0.26</v>
      </c>
      <c r="K393">
        <v>0.68</v>
      </c>
      <c r="L393">
        <v>0.94</v>
      </c>
      <c r="M393">
        <v>1.28</v>
      </c>
      <c r="N393">
        <v>1.6</v>
      </c>
    </row>
    <row r="394" spans="3:14" x14ac:dyDescent="0.2">
      <c r="C394" t="s">
        <v>581</v>
      </c>
      <c r="D394">
        <v>0</v>
      </c>
      <c r="E394">
        <v>0.01</v>
      </c>
      <c r="F394">
        <v>0.02</v>
      </c>
      <c r="G394">
        <v>0.05</v>
      </c>
      <c r="H394">
        <v>0.09</v>
      </c>
      <c r="I394">
        <v>0.15</v>
      </c>
      <c r="J394">
        <v>0.34</v>
      </c>
      <c r="K394">
        <v>0.46</v>
      </c>
      <c r="L394">
        <v>0.61</v>
      </c>
      <c r="M394">
        <v>0.75</v>
      </c>
      <c r="N394">
        <v>0.85</v>
      </c>
    </row>
    <row r="395" spans="3:14" x14ac:dyDescent="0.2">
      <c r="C395" t="s">
        <v>582</v>
      </c>
      <c r="D395" t="s">
        <v>3</v>
      </c>
      <c r="E395" t="s">
        <v>3</v>
      </c>
      <c r="F395" t="s">
        <v>3</v>
      </c>
      <c r="G395" t="s">
        <v>3</v>
      </c>
      <c r="H395" t="s">
        <v>3</v>
      </c>
      <c r="I395" t="s">
        <v>3</v>
      </c>
      <c r="J395" t="s">
        <v>3</v>
      </c>
      <c r="K395" t="s">
        <v>3</v>
      </c>
      <c r="L395" t="s">
        <v>3</v>
      </c>
      <c r="M395" t="s">
        <v>3</v>
      </c>
      <c r="N395" t="s">
        <v>3</v>
      </c>
    </row>
    <row r="396" spans="3:14" x14ac:dyDescent="0.2">
      <c r="C396" t="s">
        <v>47</v>
      </c>
      <c r="D396" t="s">
        <v>3</v>
      </c>
      <c r="E396" t="s">
        <v>3</v>
      </c>
      <c r="F396" t="s">
        <v>3</v>
      </c>
      <c r="G396">
        <v>0.02</v>
      </c>
      <c r="H396">
        <v>0.05</v>
      </c>
      <c r="I396">
        <v>0.1</v>
      </c>
      <c r="J396">
        <v>0.16</v>
      </c>
      <c r="K396">
        <v>0.2</v>
      </c>
      <c r="L396">
        <v>0.2</v>
      </c>
      <c r="M396">
        <v>0.21</v>
      </c>
      <c r="N396">
        <v>0.21</v>
      </c>
    </row>
    <row r="397" spans="3:14" x14ac:dyDescent="0.2">
      <c r="C397" t="s">
        <v>583</v>
      </c>
      <c r="D397">
        <v>0.01</v>
      </c>
      <c r="E397">
        <v>0.02</v>
      </c>
      <c r="F397">
        <v>0.09</v>
      </c>
      <c r="G397">
        <v>0.21</v>
      </c>
      <c r="H397">
        <v>0.28999999999999998</v>
      </c>
      <c r="I397">
        <v>0.39</v>
      </c>
      <c r="J397">
        <v>0.47</v>
      </c>
      <c r="K397">
        <v>0.44</v>
      </c>
      <c r="L397">
        <v>0.45</v>
      </c>
      <c r="M397">
        <v>0.45</v>
      </c>
      <c r="N397">
        <v>0.45</v>
      </c>
    </row>
    <row r="398" spans="3:14" x14ac:dyDescent="0.2">
      <c r="C398" t="s">
        <v>584</v>
      </c>
      <c r="D398">
        <v>0.01</v>
      </c>
      <c r="E398">
        <v>0.01</v>
      </c>
      <c r="F398">
        <v>0.05</v>
      </c>
      <c r="G398">
        <v>0.1</v>
      </c>
      <c r="H398">
        <v>0.16</v>
      </c>
      <c r="I398">
        <v>0.23</v>
      </c>
      <c r="J398">
        <v>0.3</v>
      </c>
      <c r="K398">
        <v>0.32</v>
      </c>
      <c r="L398">
        <v>0.33</v>
      </c>
      <c r="M398">
        <v>0.33</v>
      </c>
      <c r="N398">
        <v>0.33</v>
      </c>
    </row>
    <row r="399" spans="3:14" x14ac:dyDescent="0.2">
      <c r="C399" t="s">
        <v>585</v>
      </c>
      <c r="D399">
        <v>0.05</v>
      </c>
      <c r="E399">
        <v>0.06</v>
      </c>
      <c r="F399">
        <v>7.0000000000000007E-2</v>
      </c>
      <c r="G399">
        <v>0.06</v>
      </c>
      <c r="H399">
        <v>0.09</v>
      </c>
      <c r="I399">
        <v>0.13</v>
      </c>
      <c r="J399">
        <v>0.16</v>
      </c>
      <c r="K399">
        <v>0.17</v>
      </c>
      <c r="L399">
        <v>0.17</v>
      </c>
      <c r="M399">
        <v>0.18</v>
      </c>
      <c r="N399">
        <v>0.18</v>
      </c>
    </row>
    <row r="400" spans="3:14" x14ac:dyDescent="0.2">
      <c r="C400" t="s">
        <v>586</v>
      </c>
      <c r="D400">
        <v>0.35</v>
      </c>
      <c r="E400">
        <v>0.44</v>
      </c>
      <c r="F400">
        <v>0.51</v>
      </c>
      <c r="G400">
        <v>0.52</v>
      </c>
      <c r="H400">
        <v>0.52</v>
      </c>
      <c r="I400">
        <v>0.54</v>
      </c>
      <c r="J400">
        <v>0.54</v>
      </c>
      <c r="K400">
        <v>0.54</v>
      </c>
      <c r="L400">
        <v>0.54</v>
      </c>
      <c r="M400">
        <v>0.54</v>
      </c>
      <c r="N400">
        <v>0.54</v>
      </c>
    </row>
    <row r="401" spans="3:14" x14ac:dyDescent="0.2">
      <c r="C401" t="s">
        <v>587</v>
      </c>
      <c r="D401">
        <v>0.02</v>
      </c>
      <c r="E401">
        <v>0.01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</row>
    <row r="402" spans="3:14" x14ac:dyDescent="0.2">
      <c r="C402" t="s">
        <v>588</v>
      </c>
      <c r="D402" s="20">
        <f t="shared" ref="D402:J402" si="37">D382+D385+D386+D390</f>
        <v>32.99</v>
      </c>
      <c r="E402" s="20">
        <f t="shared" si="37"/>
        <v>31.3</v>
      </c>
      <c r="F402" s="20">
        <f t="shared" si="37"/>
        <v>30.39</v>
      </c>
      <c r="G402" s="20">
        <f t="shared" si="37"/>
        <v>33.099999999999994</v>
      </c>
      <c r="H402" s="20">
        <f t="shared" si="37"/>
        <v>34.67</v>
      </c>
      <c r="I402" s="20">
        <f t="shared" si="37"/>
        <v>34.71</v>
      </c>
      <c r="J402" s="20">
        <f t="shared" si="37"/>
        <v>34.03</v>
      </c>
      <c r="K402" s="20">
        <f>K382+K386+K390</f>
        <v>36.81</v>
      </c>
      <c r="L402" s="20">
        <f>L382+L386+L390</f>
        <v>36.450000000000003</v>
      </c>
      <c r="M402" s="20">
        <f>M382+M386+M390</f>
        <v>36.43</v>
      </c>
      <c r="N402" s="20">
        <f>N382+N386+N390</f>
        <v>36.019999999999996</v>
      </c>
    </row>
    <row r="403" spans="3:14" x14ac:dyDescent="0.2">
      <c r="C403" t="s">
        <v>611</v>
      </c>
      <c r="D403">
        <v>-0.89</v>
      </c>
      <c r="E403">
        <v>-0.89</v>
      </c>
      <c r="F403">
        <v>-1.02</v>
      </c>
      <c r="G403">
        <v>-2.13</v>
      </c>
      <c r="H403">
        <v>-4.12</v>
      </c>
      <c r="I403">
        <v>-4.12</v>
      </c>
      <c r="J403">
        <v>-4.12</v>
      </c>
      <c r="K403">
        <v>-4.12</v>
      </c>
      <c r="L403">
        <v>-4.12</v>
      </c>
      <c r="M403">
        <v>-4.12</v>
      </c>
      <c r="N403">
        <v>-4.12</v>
      </c>
    </row>
    <row r="404" spans="3:14" x14ac:dyDescent="0.2">
      <c r="C404" s="14" t="s">
        <v>590</v>
      </c>
      <c r="D404" s="32">
        <f>D402+D403</f>
        <v>32.1</v>
      </c>
      <c r="E404" s="32">
        <f t="shared" ref="E404:N404" si="38">E402+E403</f>
        <v>30.41</v>
      </c>
      <c r="F404" s="32">
        <f t="shared" si="38"/>
        <v>29.37</v>
      </c>
      <c r="G404" s="32">
        <f t="shared" si="38"/>
        <v>30.969999999999995</v>
      </c>
      <c r="H404" s="32">
        <f t="shared" si="38"/>
        <v>30.55</v>
      </c>
      <c r="I404" s="32">
        <f t="shared" si="38"/>
        <v>30.59</v>
      </c>
      <c r="J404" s="32">
        <f t="shared" si="38"/>
        <v>29.91</v>
      </c>
      <c r="K404" s="32">
        <f t="shared" si="38"/>
        <v>32.690000000000005</v>
      </c>
      <c r="L404" s="32">
        <f t="shared" si="38"/>
        <v>32.330000000000005</v>
      </c>
      <c r="M404" s="32">
        <f t="shared" si="38"/>
        <v>32.31</v>
      </c>
      <c r="N404" s="32">
        <f t="shared" si="38"/>
        <v>31.899999999999995</v>
      </c>
    </row>
    <row r="405" spans="3:14" x14ac:dyDescent="0.2">
      <c r="C405" t="s">
        <v>591</v>
      </c>
      <c r="D405">
        <v>10.16</v>
      </c>
      <c r="E405">
        <v>9.76</v>
      </c>
      <c r="F405">
        <v>9.36</v>
      </c>
      <c r="G405">
        <v>9.36</v>
      </c>
      <c r="H405">
        <v>5.46</v>
      </c>
      <c r="I405">
        <v>4.57</v>
      </c>
      <c r="J405">
        <v>4.57</v>
      </c>
      <c r="K405">
        <v>1.42</v>
      </c>
      <c r="L405">
        <v>0.71</v>
      </c>
      <c r="M405" t="s">
        <v>3</v>
      </c>
      <c r="N405" t="s">
        <v>3</v>
      </c>
    </row>
    <row r="406" spans="3:14" x14ac:dyDescent="0.2">
      <c r="C406" t="s">
        <v>592</v>
      </c>
      <c r="D406">
        <v>10.16</v>
      </c>
      <c r="E406">
        <v>9.76</v>
      </c>
      <c r="F406">
        <v>9.36</v>
      </c>
      <c r="G406">
        <v>9.36</v>
      </c>
      <c r="H406">
        <v>5.46</v>
      </c>
      <c r="I406">
        <v>4.57</v>
      </c>
      <c r="J406">
        <v>4.57</v>
      </c>
      <c r="K406">
        <v>1.42</v>
      </c>
      <c r="L406">
        <v>0.71</v>
      </c>
      <c r="M406" t="s">
        <v>3</v>
      </c>
      <c r="N406" t="s">
        <v>3</v>
      </c>
    </row>
    <row r="407" spans="3:14" x14ac:dyDescent="0.2">
      <c r="C407" t="s">
        <v>593</v>
      </c>
      <c r="D407" t="s">
        <v>3</v>
      </c>
      <c r="E407" t="s">
        <v>3</v>
      </c>
      <c r="F407" t="s">
        <v>3</v>
      </c>
      <c r="G407" t="s">
        <v>3</v>
      </c>
      <c r="H407" t="s">
        <v>3</v>
      </c>
      <c r="I407" t="s">
        <v>3</v>
      </c>
      <c r="J407" t="s">
        <v>3</v>
      </c>
      <c r="K407" t="s">
        <v>3</v>
      </c>
      <c r="L407" t="s">
        <v>3</v>
      </c>
      <c r="M407" t="s">
        <v>3</v>
      </c>
      <c r="N407" t="s">
        <v>3</v>
      </c>
    </row>
    <row r="408" spans="3:14" x14ac:dyDescent="0.2">
      <c r="C408" t="s">
        <v>594</v>
      </c>
      <c r="D408">
        <v>11.67</v>
      </c>
      <c r="E408">
        <v>6.85</v>
      </c>
      <c r="F408">
        <v>4.0999999999999996</v>
      </c>
      <c r="G408">
        <v>5.1100000000000003</v>
      </c>
      <c r="H408">
        <v>1.1299999999999999</v>
      </c>
      <c r="I408">
        <v>1.1299999999999999</v>
      </c>
      <c r="J408">
        <v>1.1200000000000001</v>
      </c>
      <c r="K408">
        <v>1.1299999999999999</v>
      </c>
      <c r="L408">
        <v>0.36</v>
      </c>
      <c r="M408" t="s">
        <v>3</v>
      </c>
      <c r="N408">
        <v>0</v>
      </c>
    </row>
    <row r="409" spans="3:14" x14ac:dyDescent="0.2">
      <c r="C409" t="s">
        <v>612</v>
      </c>
      <c r="D409">
        <v>1.47</v>
      </c>
      <c r="E409">
        <v>1.1299999999999999</v>
      </c>
      <c r="F409">
        <v>1.1299999999999999</v>
      </c>
      <c r="G409">
        <v>1.1299999999999999</v>
      </c>
      <c r="H409">
        <v>1.1299999999999999</v>
      </c>
      <c r="I409">
        <v>1.1299999999999999</v>
      </c>
      <c r="J409">
        <v>1.1299999999999999</v>
      </c>
      <c r="K409">
        <v>1.1299999999999999</v>
      </c>
      <c r="L409">
        <v>0.36</v>
      </c>
      <c r="M409" t="s">
        <v>3</v>
      </c>
      <c r="N409" t="s">
        <v>3</v>
      </c>
    </row>
    <row r="410" spans="3:14" x14ac:dyDescent="0.2">
      <c r="C410" t="s">
        <v>596</v>
      </c>
      <c r="D410">
        <v>10.199999999999999</v>
      </c>
      <c r="E410">
        <v>5.72</v>
      </c>
      <c r="F410">
        <v>2.97</v>
      </c>
      <c r="G410">
        <v>3.98</v>
      </c>
      <c r="H410">
        <v>0</v>
      </c>
      <c r="I410" t="s">
        <v>3</v>
      </c>
      <c r="J410">
        <v>0</v>
      </c>
      <c r="K410" t="s">
        <v>572</v>
      </c>
      <c r="L410" t="s">
        <v>3</v>
      </c>
      <c r="M410" t="s">
        <v>3</v>
      </c>
      <c r="N410">
        <v>0</v>
      </c>
    </row>
    <row r="411" spans="3:14" x14ac:dyDescent="0.2">
      <c r="C411" s="14" t="s">
        <v>597</v>
      </c>
      <c r="D411" s="32">
        <f>D405-D408</f>
        <v>-1.5099999999999998</v>
      </c>
      <c r="E411" s="32">
        <f t="shared" ref="E411:L411" si="39">E405-E408</f>
        <v>2.91</v>
      </c>
      <c r="F411" s="32">
        <f t="shared" si="39"/>
        <v>5.26</v>
      </c>
      <c r="G411" s="32">
        <f t="shared" si="39"/>
        <v>4.2499999999999991</v>
      </c>
      <c r="H411" s="32">
        <f t="shared" si="39"/>
        <v>4.33</v>
      </c>
      <c r="I411" s="32">
        <f t="shared" si="39"/>
        <v>3.4400000000000004</v>
      </c>
      <c r="J411" s="32">
        <f t="shared" si="39"/>
        <v>3.45</v>
      </c>
      <c r="K411" s="32">
        <f t="shared" si="39"/>
        <v>0.29000000000000004</v>
      </c>
      <c r="L411" s="32">
        <f t="shared" si="39"/>
        <v>0.35</v>
      </c>
      <c r="M411" s="32">
        <v>0</v>
      </c>
      <c r="N411" s="32">
        <v>0</v>
      </c>
    </row>
    <row r="412" spans="3:14" x14ac:dyDescent="0.2">
      <c r="C412" t="s">
        <v>598</v>
      </c>
      <c r="D412" s="20">
        <f>D404+D411</f>
        <v>30.590000000000003</v>
      </c>
      <c r="E412" s="20">
        <f t="shared" ref="E412:N412" si="40">E404+E411</f>
        <v>33.32</v>
      </c>
      <c r="F412" s="20">
        <f t="shared" si="40"/>
        <v>34.630000000000003</v>
      </c>
      <c r="G412" s="20">
        <f t="shared" si="40"/>
        <v>35.219999999999992</v>
      </c>
      <c r="H412" s="20">
        <f t="shared" si="40"/>
        <v>34.880000000000003</v>
      </c>
      <c r="I412" s="20">
        <f t="shared" si="40"/>
        <v>34.03</v>
      </c>
      <c r="J412" s="20">
        <f t="shared" si="40"/>
        <v>33.36</v>
      </c>
      <c r="K412" s="20">
        <f t="shared" si="40"/>
        <v>32.980000000000004</v>
      </c>
      <c r="L412" s="20">
        <f t="shared" si="40"/>
        <v>32.680000000000007</v>
      </c>
      <c r="M412" s="20">
        <f t="shared" si="40"/>
        <v>32.31</v>
      </c>
      <c r="N412" s="20">
        <f t="shared" si="40"/>
        <v>31.899999999999995</v>
      </c>
    </row>
    <row r="414" spans="3:14" x14ac:dyDescent="0.2">
      <c r="C414" t="s">
        <v>599</v>
      </c>
      <c r="D414">
        <v>32.950000000000003</v>
      </c>
      <c r="E414">
        <v>35.33</v>
      </c>
      <c r="F414">
        <v>36.770000000000003</v>
      </c>
      <c r="G414">
        <v>38.479999999999997</v>
      </c>
      <c r="H414">
        <v>40.14</v>
      </c>
      <c r="I414">
        <v>39.28</v>
      </c>
      <c r="J414">
        <v>38.6</v>
      </c>
      <c r="K414">
        <v>38.229999999999997</v>
      </c>
      <c r="L414">
        <v>37.159999999999997</v>
      </c>
      <c r="M414">
        <v>36.44</v>
      </c>
      <c r="N414">
        <v>36.020000000000003</v>
      </c>
    </row>
    <row r="420" spans="2:14" s="2" customFormat="1" ht="15" x14ac:dyDescent="0.25">
      <c r="C420" s="9" t="s">
        <v>640</v>
      </c>
      <c r="D420" s="2" t="s">
        <v>638</v>
      </c>
    </row>
    <row r="421" spans="2:14" s="2" customFormat="1" ht="15" x14ac:dyDescent="0.25">
      <c r="B421" s="2" t="s">
        <v>614</v>
      </c>
    </row>
    <row r="422" spans="2:14" s="2" customFormat="1" ht="15" x14ac:dyDescent="0.25">
      <c r="B422" s="13" t="s">
        <v>615</v>
      </c>
      <c r="D422" s="2">
        <v>2000</v>
      </c>
      <c r="E422" s="2">
        <v>2005</v>
      </c>
      <c r="F422" s="2">
        <v>2010</v>
      </c>
      <c r="G422" s="2">
        <v>2015</v>
      </c>
      <c r="H422" s="2">
        <v>2020</v>
      </c>
      <c r="I422" s="2">
        <v>2025</v>
      </c>
      <c r="J422" s="2">
        <v>2030</v>
      </c>
      <c r="K422" s="2">
        <v>2035</v>
      </c>
      <c r="L422" s="2">
        <v>2040</v>
      </c>
      <c r="M422" s="2">
        <v>2045</v>
      </c>
      <c r="N422" s="2">
        <v>2050</v>
      </c>
    </row>
    <row r="423" spans="2:14" x14ac:dyDescent="0.2">
      <c r="C423" t="s">
        <v>568</v>
      </c>
      <c r="D423">
        <v>20.67</v>
      </c>
      <c r="E423">
        <v>18.78</v>
      </c>
      <c r="F423">
        <v>21.26</v>
      </c>
      <c r="G423">
        <v>21.77</v>
      </c>
      <c r="H423">
        <v>22.68</v>
      </c>
      <c r="I423">
        <v>22.61</v>
      </c>
      <c r="J423">
        <v>22.52</v>
      </c>
      <c r="K423">
        <v>22.34</v>
      </c>
      <c r="L423">
        <v>22.24</v>
      </c>
      <c r="M423">
        <v>21.92</v>
      </c>
      <c r="N423">
        <v>21.71</v>
      </c>
    </row>
    <row r="424" spans="2:14" x14ac:dyDescent="0.2">
      <c r="C424" t="s">
        <v>633</v>
      </c>
      <c r="D424">
        <v>20.67</v>
      </c>
      <c r="E424">
        <v>18.78</v>
      </c>
      <c r="F424">
        <v>21.26</v>
      </c>
      <c r="G424">
        <v>21</v>
      </c>
      <c r="H424">
        <v>20.78</v>
      </c>
      <c r="I424">
        <v>20.58</v>
      </c>
      <c r="J424">
        <v>20.37</v>
      </c>
      <c r="K424">
        <v>20.07</v>
      </c>
      <c r="L424">
        <v>19.82</v>
      </c>
      <c r="M424">
        <v>19.32</v>
      </c>
      <c r="N424">
        <v>18.95</v>
      </c>
    </row>
    <row r="425" spans="2:14" x14ac:dyDescent="0.2">
      <c r="C425" t="s">
        <v>603</v>
      </c>
      <c r="D425" t="s">
        <v>572</v>
      </c>
      <c r="E425" t="s">
        <v>3</v>
      </c>
      <c r="F425" t="s">
        <v>3</v>
      </c>
      <c r="G425">
        <v>0.76</v>
      </c>
      <c r="H425">
        <v>1.89</v>
      </c>
      <c r="I425">
        <v>2.0299999999999998</v>
      </c>
      <c r="J425">
        <v>2.15</v>
      </c>
      <c r="K425">
        <v>2.27</v>
      </c>
      <c r="L425">
        <v>2.42</v>
      </c>
      <c r="M425">
        <v>2.61</v>
      </c>
      <c r="N425">
        <v>2.77</v>
      </c>
    </row>
    <row r="426" spans="2:14" x14ac:dyDescent="0.2">
      <c r="C426" t="s">
        <v>571</v>
      </c>
      <c r="D426">
        <v>11.01</v>
      </c>
      <c r="E426">
        <v>7.97</v>
      </c>
      <c r="F426">
        <v>10.96</v>
      </c>
      <c r="G426">
        <v>11.08</v>
      </c>
      <c r="H426">
        <v>9.77</v>
      </c>
      <c r="I426">
        <v>7.21</v>
      </c>
      <c r="J426">
        <v>3.97</v>
      </c>
      <c r="K426" t="s">
        <v>3</v>
      </c>
      <c r="L426" t="s">
        <v>3</v>
      </c>
      <c r="M426" t="s">
        <v>3</v>
      </c>
      <c r="N426" t="s">
        <v>3</v>
      </c>
    </row>
    <row r="427" spans="2:14" x14ac:dyDescent="0.2">
      <c r="C427" t="s">
        <v>604</v>
      </c>
      <c r="D427">
        <v>0.67</v>
      </c>
      <c r="E427">
        <v>0.82</v>
      </c>
      <c r="F427">
        <v>0.88</v>
      </c>
      <c r="G427">
        <v>1.04</v>
      </c>
      <c r="H427">
        <v>1.1599999999999999</v>
      </c>
      <c r="I427">
        <v>1.19</v>
      </c>
      <c r="J427">
        <v>1.23</v>
      </c>
      <c r="K427">
        <v>4.63</v>
      </c>
      <c r="L427">
        <v>3.3</v>
      </c>
      <c r="M427">
        <v>2.4700000000000002</v>
      </c>
      <c r="N427">
        <v>1.28</v>
      </c>
    </row>
    <row r="428" spans="2:14" x14ac:dyDescent="0.2">
      <c r="C428" t="s">
        <v>605</v>
      </c>
      <c r="D428">
        <v>0.67</v>
      </c>
      <c r="E428">
        <v>0.82</v>
      </c>
      <c r="F428">
        <v>0.88</v>
      </c>
      <c r="G428">
        <v>0.71</v>
      </c>
      <c r="H428">
        <v>0.62</v>
      </c>
      <c r="I428">
        <v>0.38</v>
      </c>
      <c r="J428">
        <v>0.24</v>
      </c>
      <c r="K428">
        <v>0.14000000000000001</v>
      </c>
      <c r="L428" t="s">
        <v>3</v>
      </c>
      <c r="M428" t="s">
        <v>3</v>
      </c>
      <c r="N428" t="s">
        <v>3</v>
      </c>
    </row>
    <row r="429" spans="2:14" x14ac:dyDescent="0.2">
      <c r="C429" t="s">
        <v>606</v>
      </c>
      <c r="D429" t="s">
        <v>3</v>
      </c>
      <c r="E429" t="s">
        <v>3</v>
      </c>
      <c r="F429" t="s">
        <v>3</v>
      </c>
      <c r="G429" t="s">
        <v>3</v>
      </c>
      <c r="H429" t="s">
        <v>3</v>
      </c>
      <c r="I429" t="s">
        <v>3</v>
      </c>
      <c r="J429" t="s">
        <v>3</v>
      </c>
      <c r="K429">
        <v>3.41</v>
      </c>
      <c r="L429">
        <v>2.14</v>
      </c>
      <c r="M429">
        <v>1.31</v>
      </c>
      <c r="N429">
        <v>0.12</v>
      </c>
    </row>
    <row r="430" spans="2:14" x14ac:dyDescent="0.2">
      <c r="C430" t="s">
        <v>607</v>
      </c>
      <c r="D430" t="s">
        <v>3</v>
      </c>
      <c r="E430" t="s">
        <v>3</v>
      </c>
      <c r="F430" t="s">
        <v>3</v>
      </c>
      <c r="G430">
        <v>0.34</v>
      </c>
      <c r="H430">
        <v>0.54</v>
      </c>
      <c r="I430">
        <v>0.8</v>
      </c>
      <c r="J430">
        <v>0.99</v>
      </c>
      <c r="K430">
        <v>1.08</v>
      </c>
      <c r="L430">
        <v>1.1599999999999999</v>
      </c>
      <c r="M430">
        <v>1.1599999999999999</v>
      </c>
      <c r="N430">
        <v>1.1599999999999999</v>
      </c>
    </row>
    <row r="431" spans="2:14" x14ac:dyDescent="0.2">
      <c r="C431" t="s">
        <v>608</v>
      </c>
      <c r="D431">
        <v>0.36</v>
      </c>
      <c r="E431">
        <v>0.45</v>
      </c>
      <c r="F431">
        <v>0.62</v>
      </c>
      <c r="G431">
        <v>0.82</v>
      </c>
      <c r="H431">
        <v>1.08</v>
      </c>
      <c r="I431">
        <v>1.46</v>
      </c>
      <c r="J431">
        <v>2.0499999999999998</v>
      </c>
      <c r="K431">
        <v>3.32</v>
      </c>
      <c r="L431">
        <v>4.13</v>
      </c>
      <c r="M431">
        <v>5.16</v>
      </c>
      <c r="N431">
        <v>6.09</v>
      </c>
    </row>
    <row r="432" spans="2:14" x14ac:dyDescent="0.2">
      <c r="C432" t="s">
        <v>609</v>
      </c>
      <c r="D432">
        <v>0.36</v>
      </c>
      <c r="E432">
        <v>0.45</v>
      </c>
      <c r="F432">
        <v>0.62</v>
      </c>
      <c r="G432">
        <v>0.47</v>
      </c>
      <c r="H432">
        <v>0.42</v>
      </c>
      <c r="I432">
        <v>0.32</v>
      </c>
      <c r="J432">
        <v>0.19</v>
      </c>
      <c r="K432">
        <v>0.04</v>
      </c>
      <c r="L432">
        <v>0</v>
      </c>
      <c r="M432" t="s">
        <v>3</v>
      </c>
      <c r="N432" t="s">
        <v>3</v>
      </c>
    </row>
    <row r="433" spans="3:14" x14ac:dyDescent="0.2">
      <c r="C433" t="s">
        <v>610</v>
      </c>
      <c r="D433" t="s">
        <v>3</v>
      </c>
      <c r="E433" t="s">
        <v>3</v>
      </c>
      <c r="F433" t="s">
        <v>3</v>
      </c>
      <c r="G433">
        <v>0.36</v>
      </c>
      <c r="H433">
        <v>0.66</v>
      </c>
      <c r="I433">
        <v>1.1399999999999999</v>
      </c>
      <c r="J433">
        <v>1.86</v>
      </c>
      <c r="K433">
        <v>3.27</v>
      </c>
      <c r="L433">
        <v>4.12</v>
      </c>
      <c r="M433">
        <v>5.16</v>
      </c>
      <c r="N433">
        <v>6.09</v>
      </c>
    </row>
    <row r="434" spans="3:14" x14ac:dyDescent="0.2">
      <c r="C434" t="s">
        <v>580</v>
      </c>
      <c r="D434">
        <v>0.01</v>
      </c>
      <c r="E434">
        <v>0.01</v>
      </c>
      <c r="F434">
        <v>0.06</v>
      </c>
      <c r="G434">
        <v>0.15</v>
      </c>
      <c r="H434">
        <v>0.25</v>
      </c>
      <c r="I434">
        <v>0.4</v>
      </c>
      <c r="J434">
        <v>0.7</v>
      </c>
      <c r="K434">
        <v>1.84</v>
      </c>
      <c r="L434">
        <v>2.54</v>
      </c>
      <c r="M434">
        <v>3.45</v>
      </c>
      <c r="N434">
        <v>4.32</v>
      </c>
    </row>
    <row r="435" spans="3:14" x14ac:dyDescent="0.2">
      <c r="C435" t="s">
        <v>581</v>
      </c>
      <c r="D435">
        <v>0</v>
      </c>
      <c r="E435">
        <v>0</v>
      </c>
      <c r="F435">
        <v>0.01</v>
      </c>
      <c r="G435">
        <v>0.04</v>
      </c>
      <c r="H435">
        <v>0.06</v>
      </c>
      <c r="I435">
        <v>0.1</v>
      </c>
      <c r="J435">
        <v>0.23</v>
      </c>
      <c r="K435">
        <v>0.31</v>
      </c>
      <c r="L435">
        <v>0.41</v>
      </c>
      <c r="M435">
        <v>0.5</v>
      </c>
      <c r="N435">
        <v>0.56000000000000005</v>
      </c>
    </row>
    <row r="436" spans="3:14" x14ac:dyDescent="0.2">
      <c r="C436" t="s">
        <v>582</v>
      </c>
      <c r="D436" t="s">
        <v>3</v>
      </c>
      <c r="E436" t="s">
        <v>3</v>
      </c>
      <c r="F436" t="s">
        <v>3</v>
      </c>
      <c r="G436" t="s">
        <v>3</v>
      </c>
      <c r="H436" t="s">
        <v>3</v>
      </c>
      <c r="I436" t="s">
        <v>3</v>
      </c>
      <c r="J436" t="s">
        <v>3</v>
      </c>
      <c r="K436" t="s">
        <v>3</v>
      </c>
      <c r="L436" t="s">
        <v>3</v>
      </c>
      <c r="M436" t="s">
        <v>3</v>
      </c>
      <c r="N436" t="s">
        <v>3</v>
      </c>
    </row>
    <row r="437" spans="3:14" x14ac:dyDescent="0.2">
      <c r="C437" t="s">
        <v>47</v>
      </c>
      <c r="D437" t="s">
        <v>3</v>
      </c>
      <c r="E437" t="s">
        <v>3</v>
      </c>
      <c r="F437" t="s">
        <v>3</v>
      </c>
      <c r="G437">
        <v>0.02</v>
      </c>
      <c r="H437">
        <v>0.05</v>
      </c>
      <c r="I437">
        <v>0.1</v>
      </c>
      <c r="J437">
        <v>0.16</v>
      </c>
      <c r="K437">
        <v>0.2</v>
      </c>
      <c r="L437">
        <v>0.2</v>
      </c>
      <c r="M437">
        <v>0.21</v>
      </c>
      <c r="N437">
        <v>0.21</v>
      </c>
    </row>
    <row r="438" spans="3:14" x14ac:dyDescent="0.2">
      <c r="C438" t="s">
        <v>583</v>
      </c>
      <c r="D438">
        <v>0.01</v>
      </c>
      <c r="E438">
        <v>0.01</v>
      </c>
      <c r="F438">
        <v>0.04</v>
      </c>
      <c r="G438">
        <v>0.09</v>
      </c>
      <c r="H438">
        <v>0.13</v>
      </c>
      <c r="I438">
        <v>0.18</v>
      </c>
      <c r="J438">
        <v>0.23</v>
      </c>
      <c r="K438">
        <v>0.22</v>
      </c>
      <c r="L438">
        <v>0.23</v>
      </c>
      <c r="M438">
        <v>0.23</v>
      </c>
      <c r="N438">
        <v>0.23</v>
      </c>
    </row>
    <row r="439" spans="3:14" x14ac:dyDescent="0.2">
      <c r="C439" t="s">
        <v>584</v>
      </c>
      <c r="D439">
        <v>0</v>
      </c>
      <c r="E439">
        <v>0.01</v>
      </c>
      <c r="F439">
        <v>0.03</v>
      </c>
      <c r="G439">
        <v>0.06</v>
      </c>
      <c r="H439">
        <v>0.1</v>
      </c>
      <c r="I439">
        <v>0.14000000000000001</v>
      </c>
      <c r="J439">
        <v>0.18</v>
      </c>
      <c r="K439">
        <v>0.19</v>
      </c>
      <c r="L439">
        <v>0.19</v>
      </c>
      <c r="M439">
        <v>0.2</v>
      </c>
      <c r="N439">
        <v>0.2</v>
      </c>
    </row>
    <row r="440" spans="3:14" x14ac:dyDescent="0.2">
      <c r="C440" t="s">
        <v>585</v>
      </c>
      <c r="D440">
        <v>0.04</v>
      </c>
      <c r="E440">
        <v>0.04</v>
      </c>
      <c r="F440">
        <v>0.05</v>
      </c>
      <c r="G440">
        <v>0.04</v>
      </c>
      <c r="H440">
        <v>7.0000000000000007E-2</v>
      </c>
      <c r="I440">
        <v>0.09</v>
      </c>
      <c r="J440">
        <v>0.11</v>
      </c>
      <c r="K440">
        <v>0.12</v>
      </c>
      <c r="L440">
        <v>0.12</v>
      </c>
      <c r="M440">
        <v>0.12</v>
      </c>
      <c r="N440">
        <v>0.12</v>
      </c>
    </row>
    <row r="441" spans="3:14" x14ac:dyDescent="0.2">
      <c r="C441" t="s">
        <v>586</v>
      </c>
      <c r="D441">
        <v>0.28999999999999998</v>
      </c>
      <c r="E441">
        <v>0.36</v>
      </c>
      <c r="F441">
        <v>0.41</v>
      </c>
      <c r="G441">
        <v>0.42</v>
      </c>
      <c r="H441">
        <v>0.42</v>
      </c>
      <c r="I441">
        <v>0.44</v>
      </c>
      <c r="J441">
        <v>0.44</v>
      </c>
      <c r="K441">
        <v>0.44</v>
      </c>
      <c r="L441">
        <v>0.44</v>
      </c>
      <c r="M441">
        <v>0.44</v>
      </c>
      <c r="N441">
        <v>0.44</v>
      </c>
    </row>
    <row r="442" spans="3:14" x14ac:dyDescent="0.2">
      <c r="C442" t="s">
        <v>587</v>
      </c>
      <c r="D442">
        <v>0.02</v>
      </c>
      <c r="E442">
        <v>0.01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</row>
    <row r="443" spans="3:14" x14ac:dyDescent="0.2">
      <c r="C443" t="s">
        <v>588</v>
      </c>
      <c r="D443" s="20">
        <f t="shared" ref="D443:J443" si="41">D423+D426+D427+D431</f>
        <v>32.71</v>
      </c>
      <c r="E443" s="20">
        <f t="shared" si="41"/>
        <v>28.02</v>
      </c>
      <c r="F443" s="20">
        <f t="shared" si="41"/>
        <v>33.72</v>
      </c>
      <c r="G443" s="20">
        <f t="shared" si="41"/>
        <v>34.71</v>
      </c>
      <c r="H443" s="20">
        <f t="shared" si="41"/>
        <v>34.69</v>
      </c>
      <c r="I443" s="20">
        <f t="shared" si="41"/>
        <v>32.47</v>
      </c>
      <c r="J443" s="20">
        <f t="shared" si="41"/>
        <v>29.77</v>
      </c>
      <c r="K443" s="20">
        <f>K423+K427+K431</f>
        <v>30.29</v>
      </c>
      <c r="L443" s="20">
        <f>L423+L427+L431</f>
        <v>29.669999999999998</v>
      </c>
      <c r="M443" s="20">
        <f>M423+M427+M431</f>
        <v>29.55</v>
      </c>
      <c r="N443" s="20">
        <f>N423+N427+N431</f>
        <v>29.080000000000002</v>
      </c>
    </row>
    <row r="444" spans="3:14" x14ac:dyDescent="0.2">
      <c r="C444" t="s">
        <v>611</v>
      </c>
      <c r="D444">
        <v>-1.33</v>
      </c>
      <c r="E444">
        <v>-1.33</v>
      </c>
      <c r="F444">
        <v>-1.53</v>
      </c>
      <c r="G444">
        <v>-2.21</v>
      </c>
      <c r="H444">
        <v>-3.42</v>
      </c>
      <c r="I444">
        <v>-3.42</v>
      </c>
      <c r="J444">
        <v>-3.42</v>
      </c>
      <c r="K444">
        <v>-3.42</v>
      </c>
      <c r="L444">
        <v>-3.42</v>
      </c>
      <c r="M444">
        <v>-3.42</v>
      </c>
      <c r="N444">
        <v>-3.42</v>
      </c>
    </row>
    <row r="445" spans="3:14" x14ac:dyDescent="0.2">
      <c r="C445" s="14" t="s">
        <v>590</v>
      </c>
      <c r="D445" s="32">
        <f>D443+D444</f>
        <v>31.380000000000003</v>
      </c>
      <c r="E445" s="32">
        <f t="shared" ref="E445:N445" si="42">E443+E444</f>
        <v>26.689999999999998</v>
      </c>
      <c r="F445" s="32">
        <f t="shared" si="42"/>
        <v>32.19</v>
      </c>
      <c r="G445" s="32">
        <f t="shared" si="42"/>
        <v>32.5</v>
      </c>
      <c r="H445" s="32">
        <f t="shared" si="42"/>
        <v>31.269999999999996</v>
      </c>
      <c r="I445" s="32">
        <f t="shared" si="42"/>
        <v>29.049999999999997</v>
      </c>
      <c r="J445" s="32">
        <f t="shared" si="42"/>
        <v>26.35</v>
      </c>
      <c r="K445" s="32">
        <f t="shared" si="42"/>
        <v>26.869999999999997</v>
      </c>
      <c r="L445" s="32">
        <f t="shared" si="42"/>
        <v>26.25</v>
      </c>
      <c r="M445" s="32">
        <f t="shared" si="42"/>
        <v>26.130000000000003</v>
      </c>
      <c r="N445" s="32">
        <f t="shared" si="42"/>
        <v>25.660000000000004</v>
      </c>
    </row>
    <row r="446" spans="3:14" x14ac:dyDescent="0.2">
      <c r="C446" t="s">
        <v>591</v>
      </c>
      <c r="D446">
        <v>8.56</v>
      </c>
      <c r="E446">
        <v>8.2200000000000006</v>
      </c>
      <c r="F446">
        <v>7.88</v>
      </c>
      <c r="G446">
        <v>7.88</v>
      </c>
      <c r="H446">
        <v>4.5999999999999996</v>
      </c>
      <c r="I446">
        <v>3.85</v>
      </c>
      <c r="J446">
        <v>3.85</v>
      </c>
      <c r="K446">
        <v>1.19</v>
      </c>
      <c r="L446">
        <v>0.6</v>
      </c>
      <c r="M446" t="s">
        <v>3</v>
      </c>
      <c r="N446" t="s">
        <v>3</v>
      </c>
    </row>
    <row r="447" spans="3:14" x14ac:dyDescent="0.2">
      <c r="C447" t="s">
        <v>592</v>
      </c>
      <c r="D447">
        <v>8.56</v>
      </c>
      <c r="E447">
        <v>8.2200000000000006</v>
      </c>
      <c r="F447">
        <v>7.88</v>
      </c>
      <c r="G447">
        <v>7.88</v>
      </c>
      <c r="H447">
        <v>4.5999999999999996</v>
      </c>
      <c r="I447">
        <v>3.85</v>
      </c>
      <c r="J447">
        <v>3.85</v>
      </c>
      <c r="K447">
        <v>1.19</v>
      </c>
      <c r="L447">
        <v>0.6</v>
      </c>
      <c r="M447" t="s">
        <v>3</v>
      </c>
      <c r="N447" t="s">
        <v>3</v>
      </c>
    </row>
    <row r="448" spans="3:14" x14ac:dyDescent="0.2">
      <c r="C448" t="s">
        <v>593</v>
      </c>
      <c r="D448" t="s">
        <v>3</v>
      </c>
      <c r="E448" t="s">
        <v>3</v>
      </c>
      <c r="F448" t="s">
        <v>3</v>
      </c>
      <c r="G448" t="s">
        <v>3</v>
      </c>
      <c r="H448" t="s">
        <v>3</v>
      </c>
      <c r="I448" t="s">
        <v>3</v>
      </c>
      <c r="J448" t="s">
        <v>3</v>
      </c>
      <c r="K448" t="s">
        <v>3</v>
      </c>
      <c r="L448" t="s">
        <v>3</v>
      </c>
      <c r="M448" t="s">
        <v>3</v>
      </c>
      <c r="N448" t="s">
        <v>3</v>
      </c>
    </row>
    <row r="449" spans="3:14" x14ac:dyDescent="0.2">
      <c r="C449" t="s">
        <v>594</v>
      </c>
      <c r="D449">
        <v>14.39</v>
      </c>
      <c r="E449">
        <v>6.9</v>
      </c>
      <c r="F449">
        <v>11.09</v>
      </c>
      <c r="G449">
        <v>11.06</v>
      </c>
      <c r="H449">
        <v>6.96</v>
      </c>
      <c r="I449">
        <v>4.83</v>
      </c>
      <c r="J449">
        <v>2.83</v>
      </c>
      <c r="K449">
        <v>1.1399999999999999</v>
      </c>
      <c r="L449">
        <v>0.3</v>
      </c>
      <c r="M449" t="s">
        <v>3</v>
      </c>
      <c r="N449">
        <v>0</v>
      </c>
    </row>
    <row r="450" spans="3:14" x14ac:dyDescent="0.2">
      <c r="C450" t="s">
        <v>612</v>
      </c>
      <c r="D450">
        <v>1.35</v>
      </c>
      <c r="E450">
        <v>1.1399999999999999</v>
      </c>
      <c r="F450">
        <v>1.1399999999999999</v>
      </c>
      <c r="G450">
        <v>1.1399999999999999</v>
      </c>
      <c r="H450">
        <v>1.1399999999999999</v>
      </c>
      <c r="I450">
        <v>1.1399999999999999</v>
      </c>
      <c r="J450">
        <v>1.1399999999999999</v>
      </c>
      <c r="K450">
        <v>1.1399999999999999</v>
      </c>
      <c r="L450">
        <v>0.3</v>
      </c>
      <c r="M450" t="s">
        <v>3</v>
      </c>
      <c r="N450" t="s">
        <v>3</v>
      </c>
    </row>
    <row r="451" spans="3:14" x14ac:dyDescent="0.2">
      <c r="C451" t="s">
        <v>596</v>
      </c>
      <c r="D451">
        <v>13.04</v>
      </c>
      <c r="E451">
        <v>5.76</v>
      </c>
      <c r="F451">
        <v>9.9600000000000009</v>
      </c>
      <c r="G451">
        <v>9.93</v>
      </c>
      <c r="H451">
        <v>5.82</v>
      </c>
      <c r="I451">
        <v>3.7</v>
      </c>
      <c r="J451">
        <v>1.7</v>
      </c>
      <c r="K451">
        <v>0</v>
      </c>
      <c r="L451" t="s">
        <v>3</v>
      </c>
      <c r="M451" t="s">
        <v>3</v>
      </c>
      <c r="N451">
        <v>0</v>
      </c>
    </row>
    <row r="452" spans="3:14" x14ac:dyDescent="0.2">
      <c r="C452" s="14" t="s">
        <v>597</v>
      </c>
      <c r="D452" s="32">
        <f>D446-D449</f>
        <v>-5.83</v>
      </c>
      <c r="E452" s="32">
        <f t="shared" ref="E452:L452" si="43">E446-E449</f>
        <v>1.3200000000000003</v>
      </c>
      <c r="F452" s="32">
        <f t="shared" si="43"/>
        <v>-3.21</v>
      </c>
      <c r="G452" s="32">
        <f t="shared" si="43"/>
        <v>-3.1800000000000006</v>
      </c>
      <c r="H452" s="32">
        <f t="shared" si="43"/>
        <v>-2.3600000000000003</v>
      </c>
      <c r="I452" s="32">
        <f t="shared" si="43"/>
        <v>-0.98</v>
      </c>
      <c r="J452" s="32">
        <f t="shared" si="43"/>
        <v>1.02</v>
      </c>
      <c r="K452" s="32">
        <f t="shared" si="43"/>
        <v>5.0000000000000044E-2</v>
      </c>
      <c r="L452" s="32">
        <f t="shared" si="43"/>
        <v>0.3</v>
      </c>
      <c r="M452" s="32">
        <v>0</v>
      </c>
      <c r="N452" s="32">
        <v>0</v>
      </c>
    </row>
    <row r="453" spans="3:14" x14ac:dyDescent="0.2">
      <c r="C453" t="s">
        <v>598</v>
      </c>
      <c r="D453" s="20">
        <f>D445+D452</f>
        <v>25.550000000000004</v>
      </c>
      <c r="E453" s="20">
        <f t="shared" ref="E453:N453" si="44">E445+E452</f>
        <v>28.009999999999998</v>
      </c>
      <c r="F453" s="20">
        <f t="shared" si="44"/>
        <v>28.979999999999997</v>
      </c>
      <c r="G453" s="20">
        <f t="shared" si="44"/>
        <v>29.32</v>
      </c>
      <c r="H453" s="20">
        <f t="shared" si="44"/>
        <v>28.909999999999997</v>
      </c>
      <c r="I453" s="20">
        <f t="shared" si="44"/>
        <v>28.069999999999997</v>
      </c>
      <c r="J453" s="20">
        <f t="shared" si="44"/>
        <v>27.37</v>
      </c>
      <c r="K453" s="20">
        <f t="shared" si="44"/>
        <v>26.919999999999998</v>
      </c>
      <c r="L453" s="20">
        <f t="shared" si="44"/>
        <v>26.55</v>
      </c>
      <c r="M453" s="20">
        <f t="shared" si="44"/>
        <v>26.130000000000003</v>
      </c>
      <c r="N453" s="20">
        <f t="shared" si="44"/>
        <v>25.660000000000004</v>
      </c>
    </row>
    <row r="455" spans="3:14" x14ac:dyDescent="0.2">
      <c r="C455" t="s">
        <v>599</v>
      </c>
      <c r="D455">
        <v>28.23</v>
      </c>
      <c r="E455">
        <v>30.48</v>
      </c>
      <c r="F455">
        <v>31.64</v>
      </c>
      <c r="G455">
        <v>32.67</v>
      </c>
      <c r="H455">
        <v>33.47</v>
      </c>
      <c r="I455">
        <v>32.619999999999997</v>
      </c>
      <c r="J455">
        <v>31.92</v>
      </c>
      <c r="K455">
        <v>31.48</v>
      </c>
      <c r="L455">
        <v>30.26</v>
      </c>
      <c r="M455">
        <v>29.54</v>
      </c>
      <c r="N455">
        <v>29.08</v>
      </c>
    </row>
    <row r="461" spans="3:14" x14ac:dyDescent="0.2">
      <c r="C461" t="s">
        <v>616</v>
      </c>
    </row>
    <row r="463" spans="3:14" s="2" customFormat="1" ht="15" x14ac:dyDescent="0.25">
      <c r="C463" s="9" t="s">
        <v>641</v>
      </c>
      <c r="D463" s="2" t="s">
        <v>638</v>
      </c>
    </row>
    <row r="464" spans="3:14" s="2" customFormat="1" ht="15" x14ac:dyDescent="0.25">
      <c r="C464" s="2" t="s">
        <v>618</v>
      </c>
    </row>
    <row r="465" spans="3:14" s="2" customFormat="1" ht="15" x14ac:dyDescent="0.25">
      <c r="D465" s="2">
        <v>2000</v>
      </c>
      <c r="E465" s="2">
        <v>2005</v>
      </c>
      <c r="F465" s="2">
        <v>2010</v>
      </c>
      <c r="G465" s="2">
        <v>2015</v>
      </c>
      <c r="H465" s="2">
        <v>2020</v>
      </c>
      <c r="I465" s="2">
        <v>2025</v>
      </c>
      <c r="J465" s="2">
        <v>2030</v>
      </c>
      <c r="K465" s="2">
        <v>2035</v>
      </c>
      <c r="L465" s="2">
        <v>2040</v>
      </c>
      <c r="M465" s="2">
        <v>2045</v>
      </c>
      <c r="N465" s="2">
        <v>2050</v>
      </c>
    </row>
    <row r="466" spans="3:14" x14ac:dyDescent="0.2">
      <c r="C466" t="s">
        <v>619</v>
      </c>
      <c r="D466">
        <v>2.9</v>
      </c>
      <c r="E466">
        <v>2.2000000000000002</v>
      </c>
      <c r="F466">
        <v>2.2000000000000002</v>
      </c>
      <c r="G466">
        <v>2.7</v>
      </c>
      <c r="H466">
        <v>2.7</v>
      </c>
      <c r="I466">
        <v>2.9</v>
      </c>
      <c r="J466">
        <v>3</v>
      </c>
      <c r="K466">
        <v>2.4</v>
      </c>
      <c r="L466">
        <v>2.4</v>
      </c>
      <c r="M466">
        <v>2.4</v>
      </c>
      <c r="N466">
        <v>2.4</v>
      </c>
    </row>
    <row r="467" spans="3:14" x14ac:dyDescent="0.2">
      <c r="C467" t="s">
        <v>332</v>
      </c>
      <c r="D467">
        <v>10.9</v>
      </c>
      <c r="E467">
        <v>11.7</v>
      </c>
      <c r="F467">
        <v>11.6</v>
      </c>
      <c r="G467">
        <v>15.9</v>
      </c>
      <c r="H467">
        <v>23.8</v>
      </c>
      <c r="I467">
        <v>38.9</v>
      </c>
      <c r="J467">
        <v>54.3</v>
      </c>
      <c r="K467">
        <v>113.5</v>
      </c>
      <c r="L467">
        <v>99.4</v>
      </c>
      <c r="M467">
        <v>91.1</v>
      </c>
      <c r="N467">
        <v>77.900000000000006</v>
      </c>
    </row>
    <row r="468" spans="3:14" x14ac:dyDescent="0.2">
      <c r="C468" t="s">
        <v>101</v>
      </c>
      <c r="D468">
        <v>2.2000000000000002</v>
      </c>
      <c r="E468">
        <v>2.7</v>
      </c>
      <c r="F468">
        <v>5.9</v>
      </c>
      <c r="G468">
        <v>10</v>
      </c>
      <c r="H468">
        <v>14</v>
      </c>
      <c r="I468">
        <v>18.7</v>
      </c>
      <c r="J468">
        <v>21.9</v>
      </c>
      <c r="K468">
        <v>20.8</v>
      </c>
      <c r="L468">
        <v>20.5</v>
      </c>
      <c r="M468">
        <v>19.899999999999999</v>
      </c>
      <c r="N468">
        <v>19</v>
      </c>
    </row>
    <row r="469" spans="3:14" x14ac:dyDescent="0.2">
      <c r="C469" t="s">
        <v>620</v>
      </c>
      <c r="D469">
        <v>42.3</v>
      </c>
      <c r="E469">
        <v>51.8</v>
      </c>
      <c r="F469">
        <v>56.6</v>
      </c>
      <c r="G469">
        <v>46.6</v>
      </c>
      <c r="H469">
        <v>45.9</v>
      </c>
      <c r="I469">
        <v>44.2</v>
      </c>
      <c r="J469">
        <v>42.7</v>
      </c>
      <c r="K469">
        <v>42</v>
      </c>
      <c r="L469">
        <v>41.6</v>
      </c>
      <c r="M469">
        <v>39.700000000000003</v>
      </c>
      <c r="N469">
        <v>39.5</v>
      </c>
    </row>
    <row r="470" spans="3:14" x14ac:dyDescent="0.2">
      <c r="C470" t="s">
        <v>621</v>
      </c>
      <c r="D470">
        <v>261.89999999999998</v>
      </c>
      <c r="E470">
        <v>233</v>
      </c>
      <c r="F470">
        <v>266.10000000000002</v>
      </c>
      <c r="G470">
        <v>260.10000000000002</v>
      </c>
      <c r="H470">
        <v>228.6</v>
      </c>
      <c r="I470">
        <v>166.6</v>
      </c>
      <c r="J470">
        <v>90.6</v>
      </c>
      <c r="K470">
        <v>0</v>
      </c>
      <c r="L470">
        <v>0</v>
      </c>
      <c r="M470">
        <v>0</v>
      </c>
      <c r="N470">
        <v>0</v>
      </c>
    </row>
    <row r="471" spans="3:14" x14ac:dyDescent="0.2">
      <c r="C471" t="s">
        <v>132</v>
      </c>
      <c r="D471">
        <v>138.19999999999999</v>
      </c>
      <c r="E471">
        <v>123.6</v>
      </c>
      <c r="F471">
        <v>127.5</v>
      </c>
      <c r="G471">
        <v>139.5</v>
      </c>
      <c r="H471">
        <v>149.30000000000001</v>
      </c>
      <c r="I471">
        <v>149.9</v>
      </c>
      <c r="J471">
        <v>150.4</v>
      </c>
      <c r="K471">
        <v>150.30000000000001</v>
      </c>
      <c r="L471">
        <v>150.69999999999999</v>
      </c>
      <c r="M471">
        <v>149.80000000000001</v>
      </c>
      <c r="N471">
        <v>149.69999999999999</v>
      </c>
    </row>
    <row r="472" spans="3:14" x14ac:dyDescent="0.2">
      <c r="C472" t="s">
        <v>622</v>
      </c>
      <c r="D472">
        <v>0</v>
      </c>
      <c r="E472">
        <v>0</v>
      </c>
      <c r="F472">
        <v>0.1</v>
      </c>
      <c r="G472">
        <v>0.3</v>
      </c>
      <c r="H472">
        <v>0.5</v>
      </c>
      <c r="I472">
        <v>0.9</v>
      </c>
      <c r="J472">
        <v>2</v>
      </c>
      <c r="K472">
        <v>2.8</v>
      </c>
      <c r="L472">
        <v>3.7</v>
      </c>
      <c r="M472">
        <v>4.5</v>
      </c>
      <c r="N472">
        <v>5.0999999999999996</v>
      </c>
    </row>
    <row r="473" spans="3:14" x14ac:dyDescent="0.2">
      <c r="C473" t="s">
        <v>623</v>
      </c>
      <c r="D473">
        <v>0</v>
      </c>
      <c r="E473">
        <v>0.1</v>
      </c>
      <c r="F473">
        <v>0.3</v>
      </c>
      <c r="G473">
        <v>0.8</v>
      </c>
      <c r="H473">
        <v>1.2</v>
      </c>
      <c r="I473">
        <v>2</v>
      </c>
      <c r="J473">
        <v>3.5</v>
      </c>
      <c r="K473">
        <v>9.1</v>
      </c>
      <c r="L473">
        <v>12.5</v>
      </c>
      <c r="M473">
        <v>17</v>
      </c>
      <c r="N473">
        <v>21.3</v>
      </c>
    </row>
    <row r="474" spans="3:14" x14ac:dyDescent="0.2">
      <c r="C474" t="s">
        <v>47</v>
      </c>
      <c r="D474">
        <v>0</v>
      </c>
      <c r="E474">
        <v>0</v>
      </c>
      <c r="F474">
        <v>0</v>
      </c>
      <c r="G474">
        <v>0.1</v>
      </c>
      <c r="H474">
        <v>0.4</v>
      </c>
      <c r="I474">
        <v>0.7</v>
      </c>
      <c r="J474">
        <v>1.2</v>
      </c>
      <c r="K474">
        <v>1.4</v>
      </c>
      <c r="L474">
        <v>1.4</v>
      </c>
      <c r="M474">
        <v>1.5</v>
      </c>
      <c r="N474">
        <v>1.5</v>
      </c>
    </row>
    <row r="475" spans="3:14" x14ac:dyDescent="0.2">
      <c r="C475" t="s">
        <v>624</v>
      </c>
      <c r="D475">
        <v>458.3</v>
      </c>
      <c r="E475">
        <v>425.1</v>
      </c>
      <c r="F475">
        <v>470.3</v>
      </c>
      <c r="G475">
        <v>476</v>
      </c>
      <c r="H475">
        <v>466.5</v>
      </c>
      <c r="I475">
        <v>424.8</v>
      </c>
      <c r="J475">
        <v>369.6</v>
      </c>
      <c r="K475">
        <v>342.3</v>
      </c>
      <c r="L475">
        <v>332.2</v>
      </c>
      <c r="M475">
        <v>325.89999999999998</v>
      </c>
      <c r="N475">
        <v>316.39999999999998</v>
      </c>
    </row>
    <row r="476" spans="3:14" x14ac:dyDescent="0.2">
      <c r="C476" t="s">
        <v>625</v>
      </c>
      <c r="D476">
        <v>-26.5</v>
      </c>
      <c r="E476">
        <v>15.2</v>
      </c>
      <c r="F476">
        <v>7.4</v>
      </c>
      <c r="G476">
        <v>3.8</v>
      </c>
      <c r="H476">
        <v>7.1</v>
      </c>
      <c r="I476">
        <v>8.9</v>
      </c>
      <c r="J476">
        <v>16.100000000000001</v>
      </c>
      <c r="K476">
        <v>1.3</v>
      </c>
      <c r="L476">
        <v>2.2999999999999998</v>
      </c>
      <c r="M476">
        <v>0</v>
      </c>
      <c r="N476">
        <v>0</v>
      </c>
    </row>
    <row r="477" spans="3:14" x14ac:dyDescent="0.2">
      <c r="C477" t="s">
        <v>626</v>
      </c>
      <c r="D477">
        <v>-7.5</v>
      </c>
      <c r="E477">
        <v>-8.1999999999999993</v>
      </c>
      <c r="F477">
        <v>-9.5</v>
      </c>
      <c r="G477">
        <v>-13.8</v>
      </c>
      <c r="H477">
        <v>-17.2</v>
      </c>
      <c r="I477">
        <v>-20</v>
      </c>
      <c r="J477">
        <v>-22.4</v>
      </c>
      <c r="K477">
        <v>-21.3</v>
      </c>
      <c r="L477">
        <v>-20.7</v>
      </c>
      <c r="M477">
        <v>-20.5</v>
      </c>
      <c r="N477">
        <v>-20.2</v>
      </c>
    </row>
    <row r="478" spans="3:14" x14ac:dyDescent="0.2">
      <c r="C478" t="s">
        <v>627</v>
      </c>
      <c r="D478">
        <v>424.3</v>
      </c>
      <c r="E478">
        <v>432.2</v>
      </c>
      <c r="F478">
        <v>468.1</v>
      </c>
      <c r="G478">
        <v>466</v>
      </c>
      <c r="H478">
        <v>456.4</v>
      </c>
      <c r="I478">
        <v>413.7</v>
      </c>
      <c r="J478">
        <v>363.2</v>
      </c>
      <c r="K478">
        <v>322.2</v>
      </c>
      <c r="L478">
        <v>313.8</v>
      </c>
      <c r="M478">
        <v>305.3</v>
      </c>
      <c r="N478">
        <v>296.2</v>
      </c>
    </row>
    <row r="479" spans="3:14" x14ac:dyDescent="0.2">
      <c r="C479" t="s">
        <v>628</v>
      </c>
      <c r="D479" s="75">
        <v>0.60099999999999998</v>
      </c>
      <c r="E479" s="75">
        <v>0.58099999999999996</v>
      </c>
      <c r="F479" s="75">
        <v>0.59499999999999997</v>
      </c>
      <c r="G479" s="75">
        <v>0.58499999999999996</v>
      </c>
      <c r="H479" s="75">
        <v>0.54700000000000004</v>
      </c>
      <c r="I479" s="75">
        <v>0.49099999999999999</v>
      </c>
      <c r="J479" s="75">
        <v>0.4</v>
      </c>
      <c r="K479" s="75">
        <v>0.33900000000000002</v>
      </c>
      <c r="L479" s="75">
        <v>0.30599999999999999</v>
      </c>
      <c r="M479" s="75">
        <v>0.28699999999999998</v>
      </c>
      <c r="N479" s="75">
        <v>0.254</v>
      </c>
    </row>
    <row r="483" spans="2:14" s="2" customFormat="1" ht="15" x14ac:dyDescent="0.25">
      <c r="C483" s="9" t="s">
        <v>642</v>
      </c>
      <c r="D483" s="2" t="s">
        <v>643</v>
      </c>
    </row>
    <row r="484" spans="2:14" s="2" customFormat="1" ht="15" x14ac:dyDescent="0.25">
      <c r="B484" s="2" t="s">
        <v>631</v>
      </c>
    </row>
    <row r="485" spans="2:14" s="2" customFormat="1" ht="15" x14ac:dyDescent="0.25">
      <c r="B485" s="13" t="s">
        <v>567</v>
      </c>
      <c r="D485" s="2">
        <v>2000</v>
      </c>
      <c r="E485" s="2">
        <v>2005</v>
      </c>
      <c r="F485" s="2">
        <v>2010</v>
      </c>
      <c r="G485" s="2">
        <v>2015</v>
      </c>
      <c r="H485" s="2">
        <v>2020</v>
      </c>
      <c r="I485" s="2">
        <v>2025</v>
      </c>
      <c r="J485" s="2">
        <v>2030</v>
      </c>
      <c r="K485" s="2">
        <v>2035</v>
      </c>
      <c r="L485" s="2">
        <v>2040</v>
      </c>
      <c r="M485" s="2">
        <v>2045</v>
      </c>
      <c r="N485" s="2">
        <v>2050</v>
      </c>
    </row>
    <row r="486" spans="2:14" x14ac:dyDescent="0.2">
      <c r="C486" t="s">
        <v>568</v>
      </c>
      <c r="D486">
        <v>38.380000000000003</v>
      </c>
      <c r="E486">
        <v>34.340000000000003</v>
      </c>
      <c r="F486">
        <v>35.42</v>
      </c>
      <c r="G486">
        <v>39</v>
      </c>
      <c r="H486">
        <v>41.96</v>
      </c>
      <c r="I486">
        <v>42.35</v>
      </c>
      <c r="J486">
        <v>42.67</v>
      </c>
      <c r="K486">
        <v>43.02</v>
      </c>
      <c r="L486">
        <v>43.44</v>
      </c>
      <c r="M486">
        <v>43.82</v>
      </c>
      <c r="N486">
        <v>44.15</v>
      </c>
    </row>
    <row r="487" spans="2:14" x14ac:dyDescent="0.2">
      <c r="C487" t="s">
        <v>633</v>
      </c>
      <c r="D487">
        <v>38.380000000000003</v>
      </c>
      <c r="E487">
        <v>34.340000000000003</v>
      </c>
      <c r="F487">
        <v>35.42</v>
      </c>
      <c r="G487">
        <v>36.950000000000003</v>
      </c>
      <c r="H487">
        <v>36.869999999999997</v>
      </c>
      <c r="I487">
        <v>36.83</v>
      </c>
      <c r="J487">
        <v>36.75</v>
      </c>
      <c r="K487">
        <v>36.54</v>
      </c>
      <c r="L487">
        <v>36.409999999999997</v>
      </c>
      <c r="M487">
        <v>35.85</v>
      </c>
      <c r="N487">
        <v>35.57</v>
      </c>
    </row>
    <row r="488" spans="2:14" x14ac:dyDescent="0.2">
      <c r="C488" t="s">
        <v>603</v>
      </c>
      <c r="D488" t="s">
        <v>3</v>
      </c>
      <c r="E488" t="s">
        <v>3</v>
      </c>
      <c r="F488" t="s">
        <v>3</v>
      </c>
      <c r="G488">
        <v>2.0499999999999998</v>
      </c>
      <c r="H488">
        <v>5.09</v>
      </c>
      <c r="I488">
        <v>5.52</v>
      </c>
      <c r="J488">
        <v>5.91</v>
      </c>
      <c r="K488">
        <v>6.48</v>
      </c>
      <c r="L488">
        <v>7.02</v>
      </c>
      <c r="M488">
        <v>7.96</v>
      </c>
      <c r="N488">
        <v>8.57</v>
      </c>
    </row>
    <row r="489" spans="2:14" x14ac:dyDescent="0.2">
      <c r="C489" t="s">
        <v>571</v>
      </c>
      <c r="D489">
        <v>24.73</v>
      </c>
      <c r="E489">
        <v>21.9</v>
      </c>
      <c r="F489">
        <v>25.13</v>
      </c>
      <c r="G489">
        <v>24.58</v>
      </c>
      <c r="H489">
        <v>21.68</v>
      </c>
      <c r="I489">
        <v>15.98</v>
      </c>
      <c r="J489">
        <v>8.81</v>
      </c>
      <c r="K489" t="s">
        <v>572</v>
      </c>
      <c r="L489" t="s">
        <v>3</v>
      </c>
      <c r="M489" t="s">
        <v>3</v>
      </c>
      <c r="N489" t="s">
        <v>3</v>
      </c>
    </row>
    <row r="490" spans="2:14" x14ac:dyDescent="0.2">
      <c r="C490" t="s">
        <v>604</v>
      </c>
      <c r="D490">
        <v>1.79</v>
      </c>
      <c r="E490">
        <v>2.0699999999999998</v>
      </c>
      <c r="F490">
        <v>2.1800000000000002</v>
      </c>
      <c r="G490">
        <v>2.7</v>
      </c>
      <c r="H490">
        <v>3.13</v>
      </c>
      <c r="I490">
        <v>4.88</v>
      </c>
      <c r="J490">
        <v>6.71</v>
      </c>
      <c r="K490">
        <v>12.7</v>
      </c>
      <c r="L490">
        <v>10.27</v>
      </c>
      <c r="M490">
        <v>8.2200000000000006</v>
      </c>
      <c r="N490">
        <v>6</v>
      </c>
    </row>
    <row r="491" spans="2:14" x14ac:dyDescent="0.2">
      <c r="C491" t="s">
        <v>605</v>
      </c>
      <c r="D491">
        <v>1.79</v>
      </c>
      <c r="E491">
        <v>2.0699999999999998</v>
      </c>
      <c r="F491">
        <v>2.1800000000000002</v>
      </c>
      <c r="G491">
        <v>1.76</v>
      </c>
      <c r="H491">
        <v>1.48</v>
      </c>
      <c r="I491">
        <v>0.92</v>
      </c>
      <c r="J491">
        <v>0.57999999999999996</v>
      </c>
      <c r="K491">
        <v>0.32</v>
      </c>
      <c r="L491" t="s">
        <v>572</v>
      </c>
      <c r="M491" t="s">
        <v>3</v>
      </c>
      <c r="N491" t="s">
        <v>3</v>
      </c>
    </row>
    <row r="492" spans="2:14" x14ac:dyDescent="0.2">
      <c r="C492" t="s">
        <v>606</v>
      </c>
      <c r="D492" t="s">
        <v>572</v>
      </c>
      <c r="E492" t="s">
        <v>572</v>
      </c>
      <c r="F492" t="s">
        <v>3</v>
      </c>
      <c r="G492" t="s">
        <v>3</v>
      </c>
      <c r="H492" t="s">
        <v>3</v>
      </c>
      <c r="I492">
        <v>1.49</v>
      </c>
      <c r="J492">
        <v>3.09</v>
      </c>
      <c r="K492">
        <v>9.1300000000000008</v>
      </c>
      <c r="L492">
        <v>6.83</v>
      </c>
      <c r="M492">
        <v>4.7699999999999996</v>
      </c>
      <c r="N492">
        <v>2.5499999999999998</v>
      </c>
    </row>
    <row r="493" spans="2:14" x14ac:dyDescent="0.2">
      <c r="C493" t="s">
        <v>607</v>
      </c>
      <c r="D493" t="s">
        <v>3</v>
      </c>
      <c r="E493" t="s">
        <v>3</v>
      </c>
      <c r="F493" t="s">
        <v>3</v>
      </c>
      <c r="G493">
        <v>0.94</v>
      </c>
      <c r="H493">
        <v>1.65</v>
      </c>
      <c r="I493">
        <v>2.4700000000000002</v>
      </c>
      <c r="J493">
        <v>3.04</v>
      </c>
      <c r="K493">
        <v>3.26</v>
      </c>
      <c r="L493">
        <v>3.44</v>
      </c>
      <c r="M493">
        <v>3.45</v>
      </c>
      <c r="N493">
        <v>3.45</v>
      </c>
    </row>
    <row r="494" spans="2:14" x14ac:dyDescent="0.2">
      <c r="C494" t="s">
        <v>608</v>
      </c>
      <c r="D494">
        <v>0.81</v>
      </c>
      <c r="E494">
        <v>1.01</v>
      </c>
      <c r="F494">
        <v>1.38</v>
      </c>
      <c r="G494">
        <v>2.36</v>
      </c>
      <c r="H494">
        <v>3.68</v>
      </c>
      <c r="I494">
        <v>5.66</v>
      </c>
      <c r="J494">
        <v>8.24</v>
      </c>
      <c r="K494">
        <v>11.94</v>
      </c>
      <c r="L494">
        <v>16.149999999999999</v>
      </c>
      <c r="M494">
        <v>20.57</v>
      </c>
      <c r="N494">
        <v>24.22</v>
      </c>
    </row>
    <row r="495" spans="2:14" x14ac:dyDescent="0.2">
      <c r="C495" t="s">
        <v>609</v>
      </c>
      <c r="D495">
        <v>0.81</v>
      </c>
      <c r="E495">
        <v>1.01</v>
      </c>
      <c r="F495">
        <v>1.38</v>
      </c>
      <c r="G495">
        <v>1.03</v>
      </c>
      <c r="H495">
        <v>0.92</v>
      </c>
      <c r="I495">
        <v>0.7</v>
      </c>
      <c r="J495">
        <v>0.4</v>
      </c>
      <c r="K495">
        <v>0.1</v>
      </c>
      <c r="L495">
        <v>0.01</v>
      </c>
      <c r="M495" t="s">
        <v>3</v>
      </c>
      <c r="N495" t="s">
        <v>3</v>
      </c>
    </row>
    <row r="496" spans="2:14" x14ac:dyDescent="0.2">
      <c r="C496" t="s">
        <v>610</v>
      </c>
      <c r="D496" t="s">
        <v>572</v>
      </c>
      <c r="E496" t="s">
        <v>3</v>
      </c>
      <c r="F496" t="s">
        <v>3</v>
      </c>
      <c r="G496">
        <v>1.34</v>
      </c>
      <c r="H496">
        <v>2.77</v>
      </c>
      <c r="I496">
        <v>4.95</v>
      </c>
      <c r="J496">
        <v>7.84</v>
      </c>
      <c r="K496">
        <v>11.84</v>
      </c>
      <c r="L496">
        <v>16.14</v>
      </c>
      <c r="M496">
        <v>20.57</v>
      </c>
      <c r="N496">
        <v>24.22</v>
      </c>
    </row>
    <row r="497" spans="3:14" x14ac:dyDescent="0.2">
      <c r="C497" t="s">
        <v>580</v>
      </c>
      <c r="D497">
        <v>0.01</v>
      </c>
      <c r="E497">
        <v>0.02</v>
      </c>
      <c r="F497">
        <v>0.08</v>
      </c>
      <c r="G497">
        <v>0.28000000000000003</v>
      </c>
      <c r="H497">
        <v>0.52</v>
      </c>
      <c r="I497">
        <v>0.98</v>
      </c>
      <c r="J497">
        <v>1.91</v>
      </c>
      <c r="K497">
        <v>4.4400000000000004</v>
      </c>
      <c r="L497">
        <v>6.74</v>
      </c>
      <c r="M497">
        <v>9.23</v>
      </c>
      <c r="N497">
        <v>11.12</v>
      </c>
    </row>
    <row r="498" spans="3:14" x14ac:dyDescent="0.2">
      <c r="C498" t="s">
        <v>581</v>
      </c>
      <c r="D498">
        <v>0</v>
      </c>
      <c r="E498">
        <v>0.01</v>
      </c>
      <c r="F498">
        <v>0.04</v>
      </c>
      <c r="G498">
        <v>0.35</v>
      </c>
      <c r="H498">
        <v>0.66</v>
      </c>
      <c r="I498">
        <v>0.99</v>
      </c>
      <c r="J498">
        <v>1.46</v>
      </c>
      <c r="K498">
        <v>1.76</v>
      </c>
      <c r="L498">
        <v>2.59</v>
      </c>
      <c r="M498">
        <v>3.43</v>
      </c>
      <c r="N498">
        <v>4.26</v>
      </c>
    </row>
    <row r="499" spans="3:14" x14ac:dyDescent="0.2">
      <c r="C499" t="s">
        <v>582</v>
      </c>
      <c r="D499" t="s">
        <v>572</v>
      </c>
      <c r="E499" t="s">
        <v>572</v>
      </c>
      <c r="F499" t="s">
        <v>3</v>
      </c>
      <c r="G499" t="s">
        <v>3</v>
      </c>
      <c r="H499" t="s">
        <v>3</v>
      </c>
      <c r="I499" t="s">
        <v>3</v>
      </c>
      <c r="J499" t="s">
        <v>3</v>
      </c>
      <c r="K499" t="s">
        <v>3</v>
      </c>
      <c r="L499" t="s">
        <v>3</v>
      </c>
      <c r="M499" t="s">
        <v>3</v>
      </c>
      <c r="N499" t="s">
        <v>3</v>
      </c>
    </row>
    <row r="500" spans="3:14" x14ac:dyDescent="0.2">
      <c r="C500" t="s">
        <v>47</v>
      </c>
      <c r="D500" t="s">
        <v>572</v>
      </c>
      <c r="E500" t="s">
        <v>572</v>
      </c>
      <c r="F500" t="s">
        <v>3</v>
      </c>
      <c r="G500">
        <v>0.1</v>
      </c>
      <c r="H500">
        <v>0.2</v>
      </c>
      <c r="I500">
        <v>0.39</v>
      </c>
      <c r="J500">
        <v>0.78</v>
      </c>
      <c r="K500">
        <v>1.43</v>
      </c>
      <c r="L500">
        <v>2.41</v>
      </c>
      <c r="M500">
        <v>3.48</v>
      </c>
      <c r="N500">
        <v>4.3899999999999997</v>
      </c>
    </row>
    <row r="501" spans="3:14" x14ac:dyDescent="0.2">
      <c r="C501" t="s">
        <v>583</v>
      </c>
      <c r="D501">
        <v>0.01</v>
      </c>
      <c r="E501">
        <v>0.03</v>
      </c>
      <c r="F501">
        <v>0.14000000000000001</v>
      </c>
      <c r="G501">
        <v>0.33</v>
      </c>
      <c r="H501">
        <v>0.6</v>
      </c>
      <c r="I501">
        <v>0.97</v>
      </c>
      <c r="J501">
        <v>1.21</v>
      </c>
      <c r="K501">
        <v>1.21</v>
      </c>
      <c r="L501">
        <v>1.23</v>
      </c>
      <c r="M501">
        <v>1.23</v>
      </c>
      <c r="N501">
        <v>1.24</v>
      </c>
    </row>
    <row r="502" spans="3:14" x14ac:dyDescent="0.2">
      <c r="C502" t="s">
        <v>584</v>
      </c>
      <c r="D502">
        <v>0.01</v>
      </c>
      <c r="E502">
        <v>0.02</v>
      </c>
      <c r="F502">
        <v>0.08</v>
      </c>
      <c r="G502">
        <v>0.21</v>
      </c>
      <c r="H502">
        <v>0.46</v>
      </c>
      <c r="I502">
        <v>0.88</v>
      </c>
      <c r="J502">
        <v>1.29</v>
      </c>
      <c r="K502">
        <v>1.48</v>
      </c>
      <c r="L502">
        <v>1.55</v>
      </c>
      <c r="M502">
        <v>1.58</v>
      </c>
      <c r="N502">
        <v>1.58</v>
      </c>
    </row>
    <row r="503" spans="3:14" x14ac:dyDescent="0.2">
      <c r="C503" t="s">
        <v>585</v>
      </c>
      <c r="D503">
        <v>0.09</v>
      </c>
      <c r="E503">
        <v>0.11</v>
      </c>
      <c r="F503">
        <v>0.12</v>
      </c>
      <c r="G503">
        <v>0.1</v>
      </c>
      <c r="H503">
        <v>0.16</v>
      </c>
      <c r="I503">
        <v>0.22</v>
      </c>
      <c r="J503">
        <v>0.27</v>
      </c>
      <c r="K503">
        <v>0.28999999999999998</v>
      </c>
      <c r="L503">
        <v>0.28999999999999998</v>
      </c>
      <c r="M503">
        <v>0.3</v>
      </c>
      <c r="N503">
        <v>0.3</v>
      </c>
    </row>
    <row r="504" spans="3:14" x14ac:dyDescent="0.2">
      <c r="C504" t="s">
        <v>586</v>
      </c>
      <c r="D504">
        <v>0.63</v>
      </c>
      <c r="E504">
        <v>0.8</v>
      </c>
      <c r="F504">
        <v>0.92</v>
      </c>
      <c r="G504">
        <v>0.99</v>
      </c>
      <c r="H504">
        <v>1.1000000000000001</v>
      </c>
      <c r="I504">
        <v>1.23</v>
      </c>
      <c r="J504">
        <v>1.32</v>
      </c>
      <c r="K504">
        <v>1.32</v>
      </c>
      <c r="L504">
        <v>1.33</v>
      </c>
      <c r="M504">
        <v>1.33</v>
      </c>
      <c r="N504">
        <v>1.33</v>
      </c>
    </row>
    <row r="505" spans="3:14" x14ac:dyDescent="0.2">
      <c r="C505" t="s">
        <v>587</v>
      </c>
      <c r="D505">
        <v>0.04</v>
      </c>
      <c r="E505">
        <v>0.02</v>
      </c>
      <c r="F505">
        <v>0</v>
      </c>
      <c r="G505">
        <v>0.01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</row>
    <row r="506" spans="3:14" x14ac:dyDescent="0.2">
      <c r="C506" t="s">
        <v>588</v>
      </c>
      <c r="D506" s="20">
        <f t="shared" ref="D506:J506" si="45">D486+D489+D490+D494</f>
        <v>65.710000000000008</v>
      </c>
      <c r="E506" s="20">
        <f t="shared" si="45"/>
        <v>59.32</v>
      </c>
      <c r="F506" s="20">
        <f t="shared" si="45"/>
        <v>64.11</v>
      </c>
      <c r="G506" s="20">
        <f t="shared" si="45"/>
        <v>68.64</v>
      </c>
      <c r="H506" s="20">
        <f t="shared" si="45"/>
        <v>70.45</v>
      </c>
      <c r="I506" s="20">
        <f t="shared" si="45"/>
        <v>68.87</v>
      </c>
      <c r="J506" s="20">
        <f t="shared" si="45"/>
        <v>66.430000000000007</v>
      </c>
      <c r="K506" s="20">
        <f>K486+K490+K494</f>
        <v>67.66</v>
      </c>
      <c r="L506" s="20">
        <f>L486+L490+L494</f>
        <v>69.859999999999985</v>
      </c>
      <c r="M506" s="20">
        <f>M486+M490+M494</f>
        <v>72.61</v>
      </c>
      <c r="N506" s="20">
        <f>N486+N490+N494</f>
        <v>74.37</v>
      </c>
    </row>
    <row r="507" spans="3:14" x14ac:dyDescent="0.2">
      <c r="C507" t="s">
        <v>611</v>
      </c>
      <c r="D507">
        <v>-2.2200000000000002</v>
      </c>
      <c r="E507">
        <v>-2.2200000000000002</v>
      </c>
      <c r="F507">
        <v>-2.56</v>
      </c>
      <c r="G507">
        <v>-4.34</v>
      </c>
      <c r="H507">
        <v>-7.54</v>
      </c>
      <c r="I507">
        <v>-7.54</v>
      </c>
      <c r="J507">
        <v>-7.54</v>
      </c>
      <c r="K507">
        <v>-7.54</v>
      </c>
      <c r="L507">
        <v>-7.54</v>
      </c>
      <c r="M507">
        <v>-7.54</v>
      </c>
      <c r="N507">
        <v>-7.54</v>
      </c>
    </row>
    <row r="508" spans="3:14" x14ac:dyDescent="0.2">
      <c r="C508" s="14" t="s">
        <v>590</v>
      </c>
      <c r="D508" s="32">
        <f>D506+D507</f>
        <v>63.490000000000009</v>
      </c>
      <c r="E508" s="32">
        <f t="shared" ref="E508:N508" si="46">E506+E507</f>
        <v>57.1</v>
      </c>
      <c r="F508" s="32">
        <f t="shared" si="46"/>
        <v>61.55</v>
      </c>
      <c r="G508" s="32">
        <f t="shared" si="46"/>
        <v>64.3</v>
      </c>
      <c r="H508" s="32">
        <f t="shared" si="46"/>
        <v>62.910000000000004</v>
      </c>
      <c r="I508" s="32">
        <f t="shared" si="46"/>
        <v>61.330000000000005</v>
      </c>
      <c r="J508" s="32">
        <f t="shared" si="46"/>
        <v>58.890000000000008</v>
      </c>
      <c r="K508" s="32">
        <f t="shared" si="46"/>
        <v>60.12</v>
      </c>
      <c r="L508" s="32">
        <f t="shared" si="46"/>
        <v>62.319999999999986</v>
      </c>
      <c r="M508" s="32">
        <f t="shared" si="46"/>
        <v>65.069999999999993</v>
      </c>
      <c r="N508" s="32">
        <f t="shared" si="46"/>
        <v>66.83</v>
      </c>
    </row>
    <row r="509" spans="3:14" x14ac:dyDescent="0.2">
      <c r="C509" t="s">
        <v>591</v>
      </c>
      <c r="D509">
        <v>18.72</v>
      </c>
      <c r="E509">
        <v>17.98</v>
      </c>
      <c r="F509">
        <v>17.239999999999998</v>
      </c>
      <c r="G509">
        <v>17.239999999999998</v>
      </c>
      <c r="H509">
        <v>10.06</v>
      </c>
      <c r="I509">
        <v>8.42</v>
      </c>
      <c r="J509">
        <v>8.42</v>
      </c>
      <c r="K509">
        <v>2.61</v>
      </c>
      <c r="L509">
        <v>1.3</v>
      </c>
      <c r="M509" t="s">
        <v>3</v>
      </c>
      <c r="N509" t="s">
        <v>3</v>
      </c>
    </row>
    <row r="510" spans="3:14" x14ac:dyDescent="0.2">
      <c r="C510" t="s">
        <v>592</v>
      </c>
      <c r="D510">
        <v>18.72</v>
      </c>
      <c r="E510">
        <v>17.98</v>
      </c>
      <c r="F510">
        <v>17.239999999999998</v>
      </c>
      <c r="G510">
        <v>17.239999999999998</v>
      </c>
      <c r="H510">
        <v>10.06</v>
      </c>
      <c r="I510">
        <v>8.42</v>
      </c>
      <c r="J510">
        <v>8.42</v>
      </c>
      <c r="K510">
        <v>2.61</v>
      </c>
      <c r="L510">
        <v>1.3</v>
      </c>
      <c r="M510" t="s">
        <v>3</v>
      </c>
      <c r="N510" t="s">
        <v>572</v>
      </c>
    </row>
    <row r="511" spans="3:14" x14ac:dyDescent="0.2">
      <c r="C511" t="s">
        <v>593</v>
      </c>
      <c r="D511" t="s">
        <v>572</v>
      </c>
      <c r="E511" t="s">
        <v>3</v>
      </c>
      <c r="F511" t="s">
        <v>3</v>
      </c>
      <c r="G511" t="s">
        <v>3</v>
      </c>
      <c r="H511" t="s">
        <v>3</v>
      </c>
      <c r="I511" t="s">
        <v>3</v>
      </c>
      <c r="J511" t="s">
        <v>572</v>
      </c>
      <c r="K511" t="s">
        <v>3</v>
      </c>
      <c r="L511" t="s">
        <v>3</v>
      </c>
      <c r="M511" t="s">
        <v>3</v>
      </c>
      <c r="N511" t="s">
        <v>3</v>
      </c>
    </row>
    <row r="512" spans="3:14" x14ac:dyDescent="0.2">
      <c r="C512" t="s">
        <v>594</v>
      </c>
      <c r="D512">
        <v>26.07</v>
      </c>
      <c r="E512">
        <v>13.75</v>
      </c>
      <c r="F512">
        <v>15.19</v>
      </c>
      <c r="G512">
        <v>16.989999999999998</v>
      </c>
      <c r="H512">
        <v>9.17</v>
      </c>
      <c r="I512">
        <v>7.65</v>
      </c>
      <c r="J512">
        <v>6.58</v>
      </c>
      <c r="K512">
        <v>2.82</v>
      </c>
      <c r="L512">
        <v>4.4000000000000004</v>
      </c>
      <c r="M512">
        <v>6.63</v>
      </c>
      <c r="N512">
        <v>9.27</v>
      </c>
    </row>
    <row r="513" spans="2:14" x14ac:dyDescent="0.2">
      <c r="C513" t="s">
        <v>612</v>
      </c>
      <c r="D513">
        <v>2.83</v>
      </c>
      <c r="E513">
        <v>2.2599999999999998</v>
      </c>
      <c r="F513">
        <v>2.2599999999999998</v>
      </c>
      <c r="G513">
        <v>2.2599999999999998</v>
      </c>
      <c r="H513">
        <v>2.2599999999999998</v>
      </c>
      <c r="I513">
        <v>2.2599999999999998</v>
      </c>
      <c r="J513">
        <v>2.2599999999999998</v>
      </c>
      <c r="K513">
        <v>2.2599999999999998</v>
      </c>
      <c r="L513">
        <v>0.66</v>
      </c>
      <c r="M513" t="s">
        <v>572</v>
      </c>
      <c r="N513" t="s">
        <v>3</v>
      </c>
    </row>
    <row r="514" spans="2:14" x14ac:dyDescent="0.2">
      <c r="C514" t="s">
        <v>596</v>
      </c>
      <c r="D514">
        <v>23.24</v>
      </c>
      <c r="E514">
        <v>11.49</v>
      </c>
      <c r="F514">
        <v>12.93</v>
      </c>
      <c r="G514">
        <v>14.73</v>
      </c>
      <c r="H514">
        <v>6.91</v>
      </c>
      <c r="I514">
        <v>5.39</v>
      </c>
      <c r="J514">
        <v>4.32</v>
      </c>
      <c r="K514">
        <v>0.56000000000000005</v>
      </c>
      <c r="L514">
        <v>3.74</v>
      </c>
      <c r="M514">
        <v>6.63</v>
      </c>
      <c r="N514">
        <v>9.27</v>
      </c>
    </row>
    <row r="515" spans="2:14" x14ac:dyDescent="0.2">
      <c r="C515" s="14" t="s">
        <v>597</v>
      </c>
      <c r="D515" s="32">
        <f>D509-D512</f>
        <v>-7.3500000000000014</v>
      </c>
      <c r="E515" s="32">
        <f t="shared" ref="E515:L515" si="47">E509-E512</f>
        <v>4.2300000000000004</v>
      </c>
      <c r="F515" s="32">
        <f t="shared" si="47"/>
        <v>2.0499999999999989</v>
      </c>
      <c r="G515" s="32">
        <f t="shared" si="47"/>
        <v>0.25</v>
      </c>
      <c r="H515" s="32">
        <f t="shared" si="47"/>
        <v>0.89000000000000057</v>
      </c>
      <c r="I515" s="32">
        <f t="shared" si="47"/>
        <v>0.76999999999999957</v>
      </c>
      <c r="J515" s="32">
        <f t="shared" si="47"/>
        <v>1.8399999999999999</v>
      </c>
      <c r="K515" s="32">
        <f t="shared" si="47"/>
        <v>-0.20999999999999996</v>
      </c>
      <c r="L515" s="32">
        <f t="shared" si="47"/>
        <v>-3.1000000000000005</v>
      </c>
      <c r="M515" s="32">
        <v>0</v>
      </c>
      <c r="N515" s="32">
        <v>0</v>
      </c>
    </row>
    <row r="516" spans="2:14" x14ac:dyDescent="0.2">
      <c r="C516" t="s">
        <v>598</v>
      </c>
      <c r="D516" s="20">
        <f>D508+D515</f>
        <v>56.140000000000008</v>
      </c>
      <c r="E516" s="20">
        <f t="shared" ref="E516:N516" si="48">E508+E515</f>
        <v>61.33</v>
      </c>
      <c r="F516" s="20">
        <f t="shared" si="48"/>
        <v>63.599999999999994</v>
      </c>
      <c r="G516" s="20">
        <f t="shared" si="48"/>
        <v>64.55</v>
      </c>
      <c r="H516" s="20">
        <f t="shared" si="48"/>
        <v>63.800000000000004</v>
      </c>
      <c r="I516" s="20">
        <f t="shared" si="48"/>
        <v>62.100000000000009</v>
      </c>
      <c r="J516" s="20">
        <f t="shared" si="48"/>
        <v>60.730000000000004</v>
      </c>
      <c r="K516" s="20">
        <f t="shared" si="48"/>
        <v>59.91</v>
      </c>
      <c r="L516" s="20">
        <f t="shared" si="48"/>
        <v>59.219999999999985</v>
      </c>
      <c r="M516" s="20">
        <f t="shared" si="48"/>
        <v>65.069999999999993</v>
      </c>
      <c r="N516" s="20">
        <f t="shared" si="48"/>
        <v>66.83</v>
      </c>
    </row>
    <row r="518" spans="2:14" x14ac:dyDescent="0.2">
      <c r="C518" t="s">
        <v>599</v>
      </c>
      <c r="D518">
        <v>61.18</v>
      </c>
      <c r="E518">
        <v>65.81</v>
      </c>
      <c r="F518">
        <v>68.41</v>
      </c>
      <c r="G518">
        <v>71.14</v>
      </c>
      <c r="H518">
        <v>73.61</v>
      </c>
      <c r="I518">
        <v>71.900000000000006</v>
      </c>
      <c r="J518">
        <v>70.52</v>
      </c>
      <c r="K518">
        <v>69.709999999999994</v>
      </c>
      <c r="L518">
        <v>67.42</v>
      </c>
      <c r="M518">
        <v>65.98</v>
      </c>
      <c r="N518">
        <v>65.099999999999994</v>
      </c>
    </row>
    <row r="524" spans="2:14" s="2" customFormat="1" ht="15" x14ac:dyDescent="0.25">
      <c r="C524" s="9" t="s">
        <v>644</v>
      </c>
      <c r="D524" s="2" t="s">
        <v>643</v>
      </c>
    </row>
    <row r="525" spans="2:14" s="2" customFormat="1" ht="15" x14ac:dyDescent="0.25">
      <c r="B525" s="2" t="s">
        <v>600</v>
      </c>
    </row>
    <row r="526" spans="2:14" s="2" customFormat="1" ht="15" x14ac:dyDescent="0.25">
      <c r="B526" s="13" t="s">
        <v>601</v>
      </c>
      <c r="D526" s="2">
        <v>2000</v>
      </c>
      <c r="E526" s="2">
        <v>2005</v>
      </c>
      <c r="F526" s="2">
        <v>2010</v>
      </c>
      <c r="G526" s="2">
        <v>2015</v>
      </c>
      <c r="H526" s="2">
        <v>2020</v>
      </c>
      <c r="I526" s="2">
        <v>2025</v>
      </c>
      <c r="J526" s="2">
        <v>2030</v>
      </c>
      <c r="K526" s="2">
        <v>2035</v>
      </c>
      <c r="L526" s="2">
        <v>2040</v>
      </c>
      <c r="M526" s="2">
        <v>2045</v>
      </c>
      <c r="N526" s="2">
        <v>2050</v>
      </c>
    </row>
    <row r="527" spans="2:14" x14ac:dyDescent="0.2">
      <c r="C527" t="s">
        <v>568</v>
      </c>
      <c r="D527">
        <v>17.71</v>
      </c>
      <c r="E527">
        <v>15.56</v>
      </c>
      <c r="F527">
        <v>14.16</v>
      </c>
      <c r="G527">
        <v>17.079999999999998</v>
      </c>
      <c r="H527">
        <v>18.98</v>
      </c>
      <c r="I527">
        <v>19.3</v>
      </c>
      <c r="J527">
        <v>19.59</v>
      </c>
      <c r="K527">
        <v>19.89</v>
      </c>
      <c r="L527">
        <v>20.22</v>
      </c>
      <c r="M527">
        <v>20.53</v>
      </c>
      <c r="N527">
        <v>20.86</v>
      </c>
    </row>
    <row r="528" spans="2:14" x14ac:dyDescent="0.2">
      <c r="C528" t="s">
        <v>633</v>
      </c>
      <c r="D528">
        <v>17.71</v>
      </c>
      <c r="E528">
        <v>15.56</v>
      </c>
      <c r="F528">
        <v>14.16</v>
      </c>
      <c r="G528">
        <v>15.95</v>
      </c>
      <c r="H528">
        <v>16.09</v>
      </c>
      <c r="I528">
        <v>16.239999999999998</v>
      </c>
      <c r="J528">
        <v>16.39</v>
      </c>
      <c r="K528">
        <v>16.47</v>
      </c>
      <c r="L528">
        <v>16.59</v>
      </c>
      <c r="M528">
        <v>16.53</v>
      </c>
      <c r="N528">
        <v>16.63</v>
      </c>
    </row>
    <row r="529" spans="3:14" x14ac:dyDescent="0.2">
      <c r="C529" t="s">
        <v>603</v>
      </c>
      <c r="D529" t="s">
        <v>572</v>
      </c>
      <c r="E529" t="s">
        <v>572</v>
      </c>
      <c r="F529" t="s">
        <v>3</v>
      </c>
      <c r="G529">
        <v>1.1299999999999999</v>
      </c>
      <c r="H529">
        <v>2.89</v>
      </c>
      <c r="I529">
        <v>3.05</v>
      </c>
      <c r="J529">
        <v>3.2</v>
      </c>
      <c r="K529">
        <v>3.42</v>
      </c>
      <c r="L529">
        <v>3.62</v>
      </c>
      <c r="M529">
        <v>4</v>
      </c>
      <c r="N529">
        <v>4.2300000000000004</v>
      </c>
    </row>
    <row r="530" spans="3:14" x14ac:dyDescent="0.2">
      <c r="C530" t="s">
        <v>571</v>
      </c>
      <c r="D530">
        <v>13.72</v>
      </c>
      <c r="E530">
        <v>13.94</v>
      </c>
      <c r="F530">
        <v>14.17</v>
      </c>
      <c r="G530">
        <v>13.5</v>
      </c>
      <c r="H530">
        <v>11.91</v>
      </c>
      <c r="I530">
        <v>8.7799999999999994</v>
      </c>
      <c r="J530">
        <v>4.84</v>
      </c>
      <c r="K530" t="s">
        <v>572</v>
      </c>
      <c r="L530" t="s">
        <v>3</v>
      </c>
      <c r="M530" t="s">
        <v>3</v>
      </c>
      <c r="N530" t="s">
        <v>3</v>
      </c>
    </row>
    <row r="531" spans="3:14" x14ac:dyDescent="0.2">
      <c r="C531" t="s">
        <v>604</v>
      </c>
      <c r="D531">
        <v>1.1100000000000001</v>
      </c>
      <c r="E531">
        <v>1.25</v>
      </c>
      <c r="F531">
        <v>1.3</v>
      </c>
      <c r="G531">
        <v>1.63</v>
      </c>
      <c r="H531">
        <v>1.9</v>
      </c>
      <c r="I531">
        <v>3.57</v>
      </c>
      <c r="J531">
        <v>5.33</v>
      </c>
      <c r="K531">
        <v>11.33</v>
      </c>
      <c r="L531">
        <v>8.9700000000000006</v>
      </c>
      <c r="M531">
        <v>6.91</v>
      </c>
      <c r="N531">
        <v>4.6900000000000004</v>
      </c>
    </row>
    <row r="532" spans="3:14" x14ac:dyDescent="0.2">
      <c r="C532" t="s">
        <v>605</v>
      </c>
      <c r="D532">
        <v>1.1100000000000001</v>
      </c>
      <c r="E532">
        <v>1.25</v>
      </c>
      <c r="F532">
        <v>1.3</v>
      </c>
      <c r="G532">
        <v>1.05</v>
      </c>
      <c r="H532">
        <v>0.86</v>
      </c>
      <c r="I532">
        <v>0.53</v>
      </c>
      <c r="J532">
        <v>0.34</v>
      </c>
      <c r="K532">
        <v>0.18</v>
      </c>
      <c r="L532" t="s">
        <v>572</v>
      </c>
      <c r="M532" t="s">
        <v>3</v>
      </c>
      <c r="N532" t="s">
        <v>3</v>
      </c>
    </row>
    <row r="533" spans="3:14" x14ac:dyDescent="0.2">
      <c r="C533" t="s">
        <v>606</v>
      </c>
      <c r="D533" t="s">
        <v>3</v>
      </c>
      <c r="E533" t="s">
        <v>3</v>
      </c>
      <c r="F533" t="s">
        <v>3</v>
      </c>
      <c r="G533" t="s">
        <v>3</v>
      </c>
      <c r="H533" t="s">
        <v>3</v>
      </c>
      <c r="I533">
        <v>1.49</v>
      </c>
      <c r="J533">
        <v>3.09</v>
      </c>
      <c r="K533">
        <v>9.1300000000000008</v>
      </c>
      <c r="L533">
        <v>6.83</v>
      </c>
      <c r="M533">
        <v>4.7699999999999996</v>
      </c>
      <c r="N533">
        <v>2.5499999999999998</v>
      </c>
    </row>
    <row r="534" spans="3:14" x14ac:dyDescent="0.2">
      <c r="C534" t="s">
        <v>607</v>
      </c>
      <c r="D534" t="s">
        <v>3</v>
      </c>
      <c r="E534" t="s">
        <v>3</v>
      </c>
      <c r="F534" t="s">
        <v>3</v>
      </c>
      <c r="G534">
        <v>0.57999999999999996</v>
      </c>
      <c r="H534">
        <v>1.04</v>
      </c>
      <c r="I534">
        <v>1.55</v>
      </c>
      <c r="J534">
        <v>1.9</v>
      </c>
      <c r="K534">
        <v>2.0299999999999998</v>
      </c>
      <c r="L534">
        <v>2.13</v>
      </c>
      <c r="M534">
        <v>2.14</v>
      </c>
      <c r="N534">
        <v>2.14</v>
      </c>
    </row>
    <row r="535" spans="3:14" x14ac:dyDescent="0.2">
      <c r="C535" t="s">
        <v>608</v>
      </c>
      <c r="D535">
        <v>0.45</v>
      </c>
      <c r="E535">
        <v>0.55000000000000004</v>
      </c>
      <c r="F535">
        <v>0.76</v>
      </c>
      <c r="G535">
        <v>1.3</v>
      </c>
      <c r="H535">
        <v>2.02</v>
      </c>
      <c r="I535">
        <v>3.06</v>
      </c>
      <c r="J535">
        <v>4.28</v>
      </c>
      <c r="K535">
        <v>5.6</v>
      </c>
      <c r="L535">
        <v>7.27</v>
      </c>
      <c r="M535">
        <v>8.99</v>
      </c>
      <c r="N535">
        <v>10.47</v>
      </c>
    </row>
    <row r="536" spans="3:14" x14ac:dyDescent="0.2">
      <c r="C536" t="s">
        <v>609</v>
      </c>
      <c r="D536">
        <v>0.45</v>
      </c>
      <c r="E536">
        <v>0.55000000000000004</v>
      </c>
      <c r="F536">
        <v>0.76</v>
      </c>
      <c r="G536">
        <v>0.56000000000000005</v>
      </c>
      <c r="H536">
        <v>0.5</v>
      </c>
      <c r="I536">
        <v>0.38</v>
      </c>
      <c r="J536">
        <v>0.21</v>
      </c>
      <c r="K536">
        <v>0.05</v>
      </c>
      <c r="L536">
        <v>0</v>
      </c>
      <c r="M536" t="s">
        <v>3</v>
      </c>
      <c r="N536" t="s">
        <v>3</v>
      </c>
    </row>
    <row r="537" spans="3:14" x14ac:dyDescent="0.2">
      <c r="C537" t="s">
        <v>610</v>
      </c>
      <c r="D537" t="s">
        <v>572</v>
      </c>
      <c r="E537" t="s">
        <v>3</v>
      </c>
      <c r="F537" t="s">
        <v>3</v>
      </c>
      <c r="G537">
        <v>0.74</v>
      </c>
      <c r="H537">
        <v>1.52</v>
      </c>
      <c r="I537">
        <v>2.68</v>
      </c>
      <c r="J537">
        <v>4.07</v>
      </c>
      <c r="K537">
        <v>5.54</v>
      </c>
      <c r="L537">
        <v>7.26</v>
      </c>
      <c r="M537">
        <v>8.99</v>
      </c>
      <c r="N537">
        <v>10.47</v>
      </c>
    </row>
    <row r="538" spans="3:14" x14ac:dyDescent="0.2">
      <c r="C538" t="s">
        <v>580</v>
      </c>
      <c r="D538">
        <v>0</v>
      </c>
      <c r="E538">
        <v>0.01</v>
      </c>
      <c r="F538">
        <v>0.02</v>
      </c>
      <c r="G538">
        <v>0.08</v>
      </c>
      <c r="H538">
        <v>0.14000000000000001</v>
      </c>
      <c r="I538">
        <v>0.26</v>
      </c>
      <c r="J538">
        <v>0.52</v>
      </c>
      <c r="K538">
        <v>1.2</v>
      </c>
      <c r="L538">
        <v>1.82</v>
      </c>
      <c r="M538">
        <v>2.4900000000000002</v>
      </c>
      <c r="N538">
        <v>3</v>
      </c>
    </row>
    <row r="539" spans="3:14" x14ac:dyDescent="0.2">
      <c r="C539" t="s">
        <v>581</v>
      </c>
      <c r="D539">
        <v>0</v>
      </c>
      <c r="E539">
        <v>0.01</v>
      </c>
      <c r="F539">
        <v>0.02</v>
      </c>
      <c r="G539">
        <v>0.21</v>
      </c>
      <c r="H539">
        <v>0.4</v>
      </c>
      <c r="I539">
        <v>0.59</v>
      </c>
      <c r="J539">
        <v>0.88</v>
      </c>
      <c r="K539">
        <v>1.06</v>
      </c>
      <c r="L539">
        <v>1.56</v>
      </c>
      <c r="M539">
        <v>2.06</v>
      </c>
      <c r="N539">
        <v>2.56</v>
      </c>
    </row>
    <row r="540" spans="3:14" x14ac:dyDescent="0.2">
      <c r="C540" t="s">
        <v>582</v>
      </c>
      <c r="D540" t="s">
        <v>3</v>
      </c>
      <c r="E540" t="s">
        <v>3</v>
      </c>
      <c r="F540" t="s">
        <v>3</v>
      </c>
      <c r="G540" t="s">
        <v>3</v>
      </c>
      <c r="H540" t="s">
        <v>3</v>
      </c>
      <c r="I540" t="s">
        <v>3</v>
      </c>
      <c r="J540" t="s">
        <v>3</v>
      </c>
      <c r="K540" t="s">
        <v>3</v>
      </c>
      <c r="L540" t="s">
        <v>3</v>
      </c>
      <c r="M540" t="s">
        <v>3</v>
      </c>
      <c r="N540" t="s">
        <v>3</v>
      </c>
    </row>
    <row r="541" spans="3:14" x14ac:dyDescent="0.2">
      <c r="C541" t="s">
        <v>47</v>
      </c>
      <c r="D541" t="s">
        <v>3</v>
      </c>
      <c r="E541" t="s">
        <v>3</v>
      </c>
      <c r="F541" t="s">
        <v>3</v>
      </c>
      <c r="G541">
        <v>0.05</v>
      </c>
      <c r="H541">
        <v>0.1</v>
      </c>
      <c r="I541">
        <v>0.2</v>
      </c>
      <c r="J541">
        <v>0.39</v>
      </c>
      <c r="K541">
        <v>0.72</v>
      </c>
      <c r="L541">
        <v>1.2</v>
      </c>
      <c r="M541">
        <v>1.74</v>
      </c>
      <c r="N541">
        <v>2.19</v>
      </c>
    </row>
    <row r="542" spans="3:14" x14ac:dyDescent="0.2">
      <c r="C542" t="s">
        <v>583</v>
      </c>
      <c r="D542">
        <v>0.01</v>
      </c>
      <c r="E542">
        <v>0.02</v>
      </c>
      <c r="F542">
        <v>0.09</v>
      </c>
      <c r="G542">
        <v>0.23</v>
      </c>
      <c r="H542">
        <v>0.41</v>
      </c>
      <c r="I542">
        <v>0.66</v>
      </c>
      <c r="J542">
        <v>0.82</v>
      </c>
      <c r="K542">
        <v>0.82</v>
      </c>
      <c r="L542">
        <v>0.83</v>
      </c>
      <c r="M542">
        <v>0.83</v>
      </c>
      <c r="N542">
        <v>0.84</v>
      </c>
    </row>
    <row r="543" spans="3:14" x14ac:dyDescent="0.2">
      <c r="C543" t="s">
        <v>584</v>
      </c>
      <c r="D543">
        <v>0.01</v>
      </c>
      <c r="E543">
        <v>0.01</v>
      </c>
      <c r="F543">
        <v>0.05</v>
      </c>
      <c r="G543">
        <v>0.13</v>
      </c>
      <c r="H543">
        <v>0.28000000000000003</v>
      </c>
      <c r="I543">
        <v>0.54</v>
      </c>
      <c r="J543">
        <v>0.79</v>
      </c>
      <c r="K543">
        <v>0.91</v>
      </c>
      <c r="L543">
        <v>0.95</v>
      </c>
      <c r="M543">
        <v>0.97</v>
      </c>
      <c r="N543">
        <v>0.97</v>
      </c>
    </row>
    <row r="544" spans="3:14" x14ac:dyDescent="0.2">
      <c r="C544" t="s">
        <v>585</v>
      </c>
      <c r="D544">
        <v>0.05</v>
      </c>
      <c r="E544">
        <v>0.06</v>
      </c>
      <c r="F544">
        <v>7.0000000000000007E-2</v>
      </c>
      <c r="G544">
        <v>0.06</v>
      </c>
      <c r="H544">
        <v>0.09</v>
      </c>
      <c r="I544">
        <v>0.13</v>
      </c>
      <c r="J544">
        <v>0.16</v>
      </c>
      <c r="K544">
        <v>0.17</v>
      </c>
      <c r="L544">
        <v>0.17</v>
      </c>
      <c r="M544">
        <v>0.18</v>
      </c>
      <c r="N544">
        <v>0.18</v>
      </c>
    </row>
    <row r="545" spans="3:14" x14ac:dyDescent="0.2">
      <c r="C545" t="s">
        <v>586</v>
      </c>
      <c r="D545">
        <v>0.35</v>
      </c>
      <c r="E545">
        <v>0.44</v>
      </c>
      <c r="F545">
        <v>0.51</v>
      </c>
      <c r="G545">
        <v>0.54</v>
      </c>
      <c r="H545">
        <v>0.6</v>
      </c>
      <c r="I545">
        <v>0.68</v>
      </c>
      <c r="J545">
        <v>0.73</v>
      </c>
      <c r="K545">
        <v>0.73</v>
      </c>
      <c r="L545">
        <v>0.73</v>
      </c>
      <c r="M545">
        <v>0.73</v>
      </c>
      <c r="N545">
        <v>0.73</v>
      </c>
    </row>
    <row r="546" spans="3:14" x14ac:dyDescent="0.2">
      <c r="C546" t="s">
        <v>587</v>
      </c>
      <c r="D546">
        <v>0.02</v>
      </c>
      <c r="E546">
        <v>0.01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</row>
    <row r="547" spans="3:14" x14ac:dyDescent="0.2">
      <c r="C547" t="s">
        <v>588</v>
      </c>
      <c r="D547" s="20">
        <f t="shared" ref="D547:J547" si="49">D527+D530+D531+D535</f>
        <v>32.99</v>
      </c>
      <c r="E547" s="20">
        <f t="shared" si="49"/>
        <v>31.3</v>
      </c>
      <c r="F547" s="20">
        <f t="shared" si="49"/>
        <v>30.39</v>
      </c>
      <c r="G547" s="20">
        <f t="shared" si="49"/>
        <v>33.51</v>
      </c>
      <c r="H547" s="20">
        <f t="shared" si="49"/>
        <v>34.81</v>
      </c>
      <c r="I547" s="20">
        <f t="shared" si="49"/>
        <v>34.71</v>
      </c>
      <c r="J547" s="20">
        <f t="shared" si="49"/>
        <v>34.04</v>
      </c>
      <c r="K547" s="20">
        <f>K527+K531+K535</f>
        <v>36.82</v>
      </c>
      <c r="L547" s="20">
        <f>L527+L531+L535</f>
        <v>36.459999999999994</v>
      </c>
      <c r="M547" s="20">
        <f>M527+M531+M535</f>
        <v>36.43</v>
      </c>
      <c r="N547" s="20">
        <f>N527+N531+N535</f>
        <v>36.020000000000003</v>
      </c>
    </row>
    <row r="548" spans="3:14" x14ac:dyDescent="0.2">
      <c r="C548" t="s">
        <v>611</v>
      </c>
      <c r="D548">
        <v>-0.89</v>
      </c>
      <c r="E548">
        <v>-0.89</v>
      </c>
      <c r="F548">
        <v>-1.02</v>
      </c>
      <c r="G548">
        <v>-2.13</v>
      </c>
      <c r="H548">
        <v>-4.12</v>
      </c>
      <c r="I548">
        <v>-4.12</v>
      </c>
      <c r="J548">
        <v>-4.12</v>
      </c>
      <c r="K548">
        <v>-4.12</v>
      </c>
      <c r="L548">
        <v>-4.12</v>
      </c>
      <c r="M548">
        <v>-4.12</v>
      </c>
      <c r="N548">
        <v>-4.12</v>
      </c>
    </row>
    <row r="549" spans="3:14" x14ac:dyDescent="0.2">
      <c r="C549" s="14" t="s">
        <v>590</v>
      </c>
      <c r="D549" s="32">
        <f>D547+D548</f>
        <v>32.1</v>
      </c>
      <c r="E549" s="32">
        <f t="shared" ref="E549:N549" si="50">E547+E548</f>
        <v>30.41</v>
      </c>
      <c r="F549" s="32">
        <f t="shared" si="50"/>
        <v>29.37</v>
      </c>
      <c r="G549" s="32">
        <f t="shared" si="50"/>
        <v>31.38</v>
      </c>
      <c r="H549" s="32">
        <f t="shared" si="50"/>
        <v>30.69</v>
      </c>
      <c r="I549" s="32">
        <f t="shared" si="50"/>
        <v>30.59</v>
      </c>
      <c r="J549" s="32">
        <f t="shared" si="50"/>
        <v>29.919999999999998</v>
      </c>
      <c r="K549" s="32">
        <f t="shared" si="50"/>
        <v>32.700000000000003</v>
      </c>
      <c r="L549" s="32">
        <f t="shared" si="50"/>
        <v>32.339999999999996</v>
      </c>
      <c r="M549" s="32">
        <f t="shared" si="50"/>
        <v>32.31</v>
      </c>
      <c r="N549" s="32">
        <f t="shared" si="50"/>
        <v>31.900000000000002</v>
      </c>
    </row>
    <row r="550" spans="3:14" x14ac:dyDescent="0.2">
      <c r="C550" t="s">
        <v>591</v>
      </c>
      <c r="D550">
        <v>10.16</v>
      </c>
      <c r="E550">
        <v>9.76</v>
      </c>
      <c r="F550">
        <v>9.36</v>
      </c>
      <c r="G550">
        <v>9.36</v>
      </c>
      <c r="H550">
        <v>5.46</v>
      </c>
      <c r="I550">
        <v>4.57</v>
      </c>
      <c r="J550">
        <v>4.57</v>
      </c>
      <c r="K550">
        <v>1.42</v>
      </c>
      <c r="L550">
        <v>0.71</v>
      </c>
      <c r="M550" t="s">
        <v>3</v>
      </c>
      <c r="N550" t="s">
        <v>572</v>
      </c>
    </row>
    <row r="551" spans="3:14" x14ac:dyDescent="0.2">
      <c r="C551" t="s">
        <v>592</v>
      </c>
      <c r="D551">
        <v>10.16</v>
      </c>
      <c r="E551">
        <v>9.76</v>
      </c>
      <c r="F551">
        <v>9.36</v>
      </c>
      <c r="G551">
        <v>9.36</v>
      </c>
      <c r="H551">
        <v>5.46</v>
      </c>
      <c r="I551">
        <v>4.57</v>
      </c>
      <c r="J551">
        <v>4.57</v>
      </c>
      <c r="K551">
        <v>1.42</v>
      </c>
      <c r="L551">
        <v>0.71</v>
      </c>
      <c r="M551" t="s">
        <v>572</v>
      </c>
      <c r="N551" t="s">
        <v>3</v>
      </c>
    </row>
    <row r="552" spans="3:14" x14ac:dyDescent="0.2">
      <c r="C552" t="s">
        <v>593</v>
      </c>
      <c r="D552" t="s">
        <v>3</v>
      </c>
      <c r="E552" t="s">
        <v>572</v>
      </c>
      <c r="F552" t="s">
        <v>3</v>
      </c>
      <c r="G552" t="s">
        <v>3</v>
      </c>
      <c r="H552" t="s">
        <v>572</v>
      </c>
      <c r="I552" t="s">
        <v>3</v>
      </c>
      <c r="J552" t="s">
        <v>3</v>
      </c>
      <c r="K552" t="s">
        <v>3</v>
      </c>
      <c r="L552" t="s">
        <v>3</v>
      </c>
      <c r="M552" t="s">
        <v>3</v>
      </c>
      <c r="N552" t="s">
        <v>3</v>
      </c>
    </row>
    <row r="553" spans="3:14" x14ac:dyDescent="0.2">
      <c r="C553" t="s">
        <v>594</v>
      </c>
      <c r="D553">
        <v>11.67</v>
      </c>
      <c r="E553">
        <v>6.85</v>
      </c>
      <c r="F553">
        <v>4.0999999999999996</v>
      </c>
      <c r="G553">
        <v>5.51</v>
      </c>
      <c r="H553">
        <v>1.26</v>
      </c>
      <c r="I553">
        <v>1.1299999999999999</v>
      </c>
      <c r="J553">
        <v>1.1299999999999999</v>
      </c>
      <c r="K553">
        <v>1.1299999999999999</v>
      </c>
      <c r="L553">
        <v>0.36</v>
      </c>
      <c r="M553" t="s">
        <v>572</v>
      </c>
      <c r="N553">
        <v>0</v>
      </c>
    </row>
    <row r="554" spans="3:14" x14ac:dyDescent="0.2">
      <c r="C554" t="s">
        <v>612</v>
      </c>
      <c r="D554">
        <v>1.47</v>
      </c>
      <c r="E554">
        <v>1.1299999999999999</v>
      </c>
      <c r="F554">
        <v>1.1299999999999999</v>
      </c>
      <c r="G554">
        <v>1.1299999999999999</v>
      </c>
      <c r="H554">
        <v>1.1299999999999999</v>
      </c>
      <c r="I554">
        <v>1.1299999999999999</v>
      </c>
      <c r="J554">
        <v>1.1299999999999999</v>
      </c>
      <c r="K554">
        <v>1.1299999999999999</v>
      </c>
      <c r="L554">
        <v>0.36</v>
      </c>
      <c r="M554" t="s">
        <v>572</v>
      </c>
      <c r="N554" t="s">
        <v>3</v>
      </c>
    </row>
    <row r="555" spans="3:14" x14ac:dyDescent="0.2">
      <c r="C555" t="s">
        <v>596</v>
      </c>
      <c r="D555">
        <v>10.199999999999999</v>
      </c>
      <c r="E555">
        <v>5.72</v>
      </c>
      <c r="F555">
        <v>2.97</v>
      </c>
      <c r="G555">
        <v>4.3899999999999997</v>
      </c>
      <c r="H555">
        <v>0.13</v>
      </c>
      <c r="I555" t="s">
        <v>572</v>
      </c>
      <c r="J555" t="s">
        <v>3</v>
      </c>
      <c r="K555" t="s">
        <v>3</v>
      </c>
      <c r="L555" t="s">
        <v>3</v>
      </c>
      <c r="M555" t="s">
        <v>3</v>
      </c>
      <c r="N555">
        <v>0</v>
      </c>
    </row>
    <row r="556" spans="3:14" x14ac:dyDescent="0.2">
      <c r="C556" s="14" t="s">
        <v>597</v>
      </c>
      <c r="D556" s="32">
        <f>D550-D553</f>
        <v>-1.5099999999999998</v>
      </c>
      <c r="E556" s="32">
        <f t="shared" ref="E556:L556" si="51">E550-E553</f>
        <v>2.91</v>
      </c>
      <c r="F556" s="32">
        <f t="shared" si="51"/>
        <v>5.26</v>
      </c>
      <c r="G556" s="32">
        <f t="shared" si="51"/>
        <v>3.8499999999999996</v>
      </c>
      <c r="H556" s="32">
        <f t="shared" si="51"/>
        <v>4.2</v>
      </c>
      <c r="I556" s="32">
        <f t="shared" si="51"/>
        <v>3.4400000000000004</v>
      </c>
      <c r="J556" s="32">
        <f t="shared" si="51"/>
        <v>3.4400000000000004</v>
      </c>
      <c r="K556" s="32">
        <f t="shared" si="51"/>
        <v>0.29000000000000004</v>
      </c>
      <c r="L556" s="32">
        <f t="shared" si="51"/>
        <v>0.35</v>
      </c>
      <c r="M556" s="32">
        <v>0</v>
      </c>
      <c r="N556" s="32">
        <v>0</v>
      </c>
    </row>
    <row r="557" spans="3:14" x14ac:dyDescent="0.2">
      <c r="C557" t="s">
        <v>598</v>
      </c>
      <c r="D557" s="20">
        <f>D549+D556</f>
        <v>30.590000000000003</v>
      </c>
      <c r="E557" s="20">
        <f t="shared" ref="E557:N557" si="52">E549+E556</f>
        <v>33.32</v>
      </c>
      <c r="F557" s="20">
        <f t="shared" si="52"/>
        <v>34.630000000000003</v>
      </c>
      <c r="G557" s="20">
        <f t="shared" si="52"/>
        <v>35.229999999999997</v>
      </c>
      <c r="H557" s="20">
        <f t="shared" si="52"/>
        <v>34.89</v>
      </c>
      <c r="I557" s="20">
        <f t="shared" si="52"/>
        <v>34.03</v>
      </c>
      <c r="J557" s="20">
        <f t="shared" si="52"/>
        <v>33.36</v>
      </c>
      <c r="K557" s="20">
        <f t="shared" si="52"/>
        <v>32.99</v>
      </c>
      <c r="L557" s="20">
        <f t="shared" si="52"/>
        <v>32.69</v>
      </c>
      <c r="M557" s="20">
        <f t="shared" si="52"/>
        <v>32.31</v>
      </c>
      <c r="N557" s="20">
        <f t="shared" si="52"/>
        <v>31.900000000000002</v>
      </c>
    </row>
    <row r="559" spans="3:14" x14ac:dyDescent="0.2">
      <c r="C559" t="s">
        <v>599</v>
      </c>
      <c r="D559">
        <v>32.950000000000003</v>
      </c>
      <c r="E559">
        <v>35.33</v>
      </c>
      <c r="F559">
        <v>36.770000000000003</v>
      </c>
      <c r="G559">
        <v>38.479999999999997</v>
      </c>
      <c r="H559">
        <v>40.14</v>
      </c>
      <c r="I559">
        <v>39.28</v>
      </c>
      <c r="J559">
        <v>38.6</v>
      </c>
      <c r="K559">
        <v>38.229999999999997</v>
      </c>
      <c r="L559">
        <v>37.159999999999997</v>
      </c>
      <c r="M559">
        <v>36.44</v>
      </c>
      <c r="N559">
        <v>36.020000000000003</v>
      </c>
    </row>
    <row r="565" spans="2:14" s="2" customFormat="1" ht="15" x14ac:dyDescent="0.25">
      <c r="C565" s="9" t="s">
        <v>645</v>
      </c>
      <c r="D565" s="2" t="s">
        <v>643</v>
      </c>
    </row>
    <row r="566" spans="2:14" s="2" customFormat="1" ht="15" x14ac:dyDescent="0.25">
      <c r="B566" s="2" t="s">
        <v>614</v>
      </c>
    </row>
    <row r="567" spans="2:14" s="2" customFormat="1" ht="15" x14ac:dyDescent="0.25">
      <c r="B567" s="13" t="s">
        <v>615</v>
      </c>
      <c r="D567" s="2">
        <v>2000</v>
      </c>
      <c r="E567" s="2">
        <v>2005</v>
      </c>
      <c r="F567" s="2">
        <v>2010</v>
      </c>
      <c r="G567" s="2">
        <v>2015</v>
      </c>
      <c r="H567" s="2">
        <v>2020</v>
      </c>
      <c r="I567" s="2">
        <v>2025</v>
      </c>
      <c r="J567" s="2">
        <v>2030</v>
      </c>
      <c r="K567" s="2">
        <v>2035</v>
      </c>
      <c r="L567" s="2">
        <v>2040</v>
      </c>
      <c r="M567" s="2">
        <v>2045</v>
      </c>
      <c r="N567" s="2">
        <v>2050</v>
      </c>
    </row>
    <row r="568" spans="2:14" x14ac:dyDescent="0.2">
      <c r="C568" t="s">
        <v>568</v>
      </c>
      <c r="D568">
        <v>20.67</v>
      </c>
      <c r="E568">
        <v>18.78</v>
      </c>
      <c r="F568">
        <v>21.26</v>
      </c>
      <c r="G568">
        <v>21.92</v>
      </c>
      <c r="H568">
        <v>22.98</v>
      </c>
      <c r="I568">
        <v>23.05</v>
      </c>
      <c r="J568">
        <v>23.08</v>
      </c>
      <c r="K568">
        <v>23.13</v>
      </c>
      <c r="L568">
        <v>23.22</v>
      </c>
      <c r="M568">
        <v>23.28</v>
      </c>
      <c r="N568">
        <v>23.29</v>
      </c>
    </row>
    <row r="569" spans="2:14" x14ac:dyDescent="0.2">
      <c r="C569" t="s">
        <v>633</v>
      </c>
      <c r="D569">
        <v>20.67</v>
      </c>
      <c r="E569">
        <v>18.78</v>
      </c>
      <c r="F569">
        <v>21.26</v>
      </c>
      <c r="G569">
        <v>21</v>
      </c>
      <c r="H569">
        <v>20.78</v>
      </c>
      <c r="I569">
        <v>20.58</v>
      </c>
      <c r="J569">
        <v>20.37</v>
      </c>
      <c r="K569">
        <v>20.07</v>
      </c>
      <c r="L569">
        <v>19.82</v>
      </c>
      <c r="M569">
        <v>19.32</v>
      </c>
      <c r="N569">
        <v>18.95</v>
      </c>
    </row>
    <row r="570" spans="2:14" x14ac:dyDescent="0.2">
      <c r="C570" t="s">
        <v>603</v>
      </c>
      <c r="D570" t="s">
        <v>572</v>
      </c>
      <c r="E570" t="s">
        <v>572</v>
      </c>
      <c r="F570" t="s">
        <v>572</v>
      </c>
      <c r="G570">
        <v>0.91</v>
      </c>
      <c r="H570">
        <v>2.19</v>
      </c>
      <c r="I570">
        <v>2.4700000000000002</v>
      </c>
      <c r="J570">
        <v>2.71</v>
      </c>
      <c r="K570">
        <v>3.06</v>
      </c>
      <c r="L570">
        <v>3.4</v>
      </c>
      <c r="M570">
        <v>3.97</v>
      </c>
      <c r="N570">
        <v>4.34</v>
      </c>
    </row>
    <row r="571" spans="2:14" x14ac:dyDescent="0.2">
      <c r="C571" t="s">
        <v>571</v>
      </c>
      <c r="D571">
        <v>11.01</v>
      </c>
      <c r="E571">
        <v>7.97</v>
      </c>
      <c r="F571">
        <v>10.96</v>
      </c>
      <c r="G571">
        <v>11.08</v>
      </c>
      <c r="H571">
        <v>9.77</v>
      </c>
      <c r="I571">
        <v>7.21</v>
      </c>
      <c r="J571">
        <v>3.97</v>
      </c>
      <c r="K571" t="s">
        <v>572</v>
      </c>
      <c r="L571" t="s">
        <v>3</v>
      </c>
      <c r="M571" t="s">
        <v>3</v>
      </c>
      <c r="N571" t="s">
        <v>3</v>
      </c>
    </row>
    <row r="572" spans="2:14" x14ac:dyDescent="0.2">
      <c r="C572" t="s">
        <v>604</v>
      </c>
      <c r="D572">
        <v>0.67</v>
      </c>
      <c r="E572">
        <v>0.82</v>
      </c>
      <c r="F572">
        <v>0.88</v>
      </c>
      <c r="G572">
        <v>1.07</v>
      </c>
      <c r="H572">
        <v>1.23</v>
      </c>
      <c r="I572">
        <v>1.3</v>
      </c>
      <c r="J572">
        <v>1.38</v>
      </c>
      <c r="K572">
        <v>1.37</v>
      </c>
      <c r="L572">
        <v>1.31</v>
      </c>
      <c r="M572">
        <v>1.31</v>
      </c>
      <c r="N572">
        <v>1.31</v>
      </c>
    </row>
    <row r="573" spans="2:14" x14ac:dyDescent="0.2">
      <c r="C573" t="s">
        <v>605</v>
      </c>
      <c r="D573">
        <v>0.67</v>
      </c>
      <c r="E573">
        <v>0.82</v>
      </c>
      <c r="F573">
        <v>0.88</v>
      </c>
      <c r="G573">
        <v>0.71</v>
      </c>
      <c r="H573">
        <v>0.62</v>
      </c>
      <c r="I573">
        <v>0.38</v>
      </c>
      <c r="J573">
        <v>0.24</v>
      </c>
      <c r="K573">
        <v>0.14000000000000001</v>
      </c>
      <c r="L573" t="s">
        <v>572</v>
      </c>
      <c r="M573" t="s">
        <v>3</v>
      </c>
      <c r="N573" t="s">
        <v>3</v>
      </c>
    </row>
    <row r="574" spans="2:14" x14ac:dyDescent="0.2">
      <c r="C574" t="s">
        <v>606</v>
      </c>
      <c r="D574" t="s">
        <v>3</v>
      </c>
      <c r="E574" t="s">
        <v>3</v>
      </c>
      <c r="F574" t="s">
        <v>3</v>
      </c>
      <c r="G574" t="s">
        <v>3</v>
      </c>
      <c r="H574" t="s">
        <v>3</v>
      </c>
      <c r="I574" t="s">
        <v>3</v>
      </c>
      <c r="J574" t="s">
        <v>3</v>
      </c>
      <c r="K574" t="s">
        <v>3</v>
      </c>
      <c r="L574" t="s">
        <v>3</v>
      </c>
      <c r="M574" t="s">
        <v>3</v>
      </c>
      <c r="N574" t="s">
        <v>3</v>
      </c>
    </row>
    <row r="575" spans="2:14" x14ac:dyDescent="0.2">
      <c r="C575" t="s">
        <v>607</v>
      </c>
      <c r="D575" t="s">
        <v>3</v>
      </c>
      <c r="E575" t="s">
        <v>3</v>
      </c>
      <c r="F575" t="s">
        <v>3</v>
      </c>
      <c r="G575">
        <v>0.36</v>
      </c>
      <c r="H575">
        <v>0.61</v>
      </c>
      <c r="I575">
        <v>0.92</v>
      </c>
      <c r="J575">
        <v>1.1499999999999999</v>
      </c>
      <c r="K575">
        <v>1.23</v>
      </c>
      <c r="L575">
        <v>1.31</v>
      </c>
      <c r="M575">
        <v>1.31</v>
      </c>
      <c r="N575">
        <v>1.31</v>
      </c>
    </row>
    <row r="576" spans="2:14" x14ac:dyDescent="0.2">
      <c r="C576" t="s">
        <v>608</v>
      </c>
      <c r="D576">
        <v>0.36</v>
      </c>
      <c r="E576">
        <v>0.45</v>
      </c>
      <c r="F576">
        <v>0.62</v>
      </c>
      <c r="G576">
        <v>1.07</v>
      </c>
      <c r="H576">
        <v>1.66</v>
      </c>
      <c r="I576">
        <v>2.6</v>
      </c>
      <c r="J576">
        <v>3.96</v>
      </c>
      <c r="K576">
        <v>6.34</v>
      </c>
      <c r="L576">
        <v>8.8800000000000008</v>
      </c>
      <c r="M576">
        <v>11.58</v>
      </c>
      <c r="N576">
        <v>13.75</v>
      </c>
    </row>
    <row r="577" spans="3:14" x14ac:dyDescent="0.2">
      <c r="C577" t="s">
        <v>609</v>
      </c>
      <c r="D577">
        <v>0.36</v>
      </c>
      <c r="E577">
        <v>0.45</v>
      </c>
      <c r="F577">
        <v>0.62</v>
      </c>
      <c r="G577">
        <v>0.47</v>
      </c>
      <c r="H577">
        <v>0.42</v>
      </c>
      <c r="I577">
        <v>0.32</v>
      </c>
      <c r="J577">
        <v>0.19</v>
      </c>
      <c r="K577">
        <v>0.04</v>
      </c>
      <c r="L577">
        <v>0</v>
      </c>
      <c r="M577" t="s">
        <v>3</v>
      </c>
      <c r="N577" t="s">
        <v>3</v>
      </c>
    </row>
    <row r="578" spans="3:14" x14ac:dyDescent="0.2">
      <c r="C578" t="s">
        <v>610</v>
      </c>
      <c r="D578" t="s">
        <v>572</v>
      </c>
      <c r="E578" t="s">
        <v>3</v>
      </c>
      <c r="F578" t="s">
        <v>3</v>
      </c>
      <c r="G578">
        <v>0.6</v>
      </c>
      <c r="H578">
        <v>1.25</v>
      </c>
      <c r="I578">
        <v>2.2799999999999998</v>
      </c>
      <c r="J578">
        <v>3.77</v>
      </c>
      <c r="K578">
        <v>6.3</v>
      </c>
      <c r="L578">
        <v>8.8800000000000008</v>
      </c>
      <c r="M578">
        <v>11.58</v>
      </c>
      <c r="N578">
        <v>13.75</v>
      </c>
    </row>
    <row r="579" spans="3:14" x14ac:dyDescent="0.2">
      <c r="C579" t="s">
        <v>580</v>
      </c>
      <c r="D579">
        <v>0.01</v>
      </c>
      <c r="E579">
        <v>0.01</v>
      </c>
      <c r="F579">
        <v>0.06</v>
      </c>
      <c r="G579">
        <v>0.21</v>
      </c>
      <c r="H579">
        <v>0.38</v>
      </c>
      <c r="I579">
        <v>0.71</v>
      </c>
      <c r="J579">
        <v>1.39</v>
      </c>
      <c r="K579">
        <v>3.24</v>
      </c>
      <c r="L579">
        <v>4.92</v>
      </c>
      <c r="M579">
        <v>6.74</v>
      </c>
      <c r="N579">
        <v>8.1199999999999992</v>
      </c>
    </row>
    <row r="580" spans="3:14" x14ac:dyDescent="0.2">
      <c r="C580" t="s">
        <v>581</v>
      </c>
      <c r="D580">
        <v>0</v>
      </c>
      <c r="E580">
        <v>0</v>
      </c>
      <c r="F580">
        <v>0.01</v>
      </c>
      <c r="G580">
        <v>0.14000000000000001</v>
      </c>
      <c r="H580">
        <v>0.26</v>
      </c>
      <c r="I580">
        <v>0.39</v>
      </c>
      <c r="J580">
        <v>0.57999999999999996</v>
      </c>
      <c r="K580">
        <v>0.7</v>
      </c>
      <c r="L580">
        <v>1.04</v>
      </c>
      <c r="M580">
        <v>1.37</v>
      </c>
      <c r="N580">
        <v>1.7</v>
      </c>
    </row>
    <row r="581" spans="3:14" x14ac:dyDescent="0.2">
      <c r="C581" t="s">
        <v>582</v>
      </c>
      <c r="D581" t="s">
        <v>3</v>
      </c>
      <c r="E581" t="s">
        <v>3</v>
      </c>
      <c r="F581" t="s">
        <v>3</v>
      </c>
      <c r="G581" t="s">
        <v>3</v>
      </c>
      <c r="H581" t="s">
        <v>3</v>
      </c>
      <c r="I581" t="s">
        <v>3</v>
      </c>
      <c r="J581" t="s">
        <v>3</v>
      </c>
      <c r="K581" t="s">
        <v>3</v>
      </c>
      <c r="L581" t="s">
        <v>3</v>
      </c>
      <c r="M581" t="s">
        <v>3</v>
      </c>
      <c r="N581" t="s">
        <v>3</v>
      </c>
    </row>
    <row r="582" spans="3:14" x14ac:dyDescent="0.2">
      <c r="C582" t="s">
        <v>47</v>
      </c>
      <c r="D582" t="s">
        <v>3</v>
      </c>
      <c r="E582" t="s">
        <v>3</v>
      </c>
      <c r="F582" t="s">
        <v>3</v>
      </c>
      <c r="G582">
        <v>0.05</v>
      </c>
      <c r="H582">
        <v>0.1</v>
      </c>
      <c r="I582">
        <v>0.2</v>
      </c>
      <c r="J582">
        <v>0.39</v>
      </c>
      <c r="K582">
        <v>0.72</v>
      </c>
      <c r="L582">
        <v>1.2</v>
      </c>
      <c r="M582">
        <v>1.74</v>
      </c>
      <c r="N582">
        <v>2.19</v>
      </c>
    </row>
    <row r="583" spans="3:14" x14ac:dyDescent="0.2">
      <c r="C583" t="s">
        <v>583</v>
      </c>
      <c r="D583">
        <v>0.01</v>
      </c>
      <c r="E583">
        <v>0.01</v>
      </c>
      <c r="F583">
        <v>0.04</v>
      </c>
      <c r="G583">
        <v>0.1</v>
      </c>
      <c r="H583">
        <v>0.19</v>
      </c>
      <c r="I583">
        <v>0.31</v>
      </c>
      <c r="J583">
        <v>0.39</v>
      </c>
      <c r="K583">
        <v>0.4</v>
      </c>
      <c r="L583">
        <v>0.4</v>
      </c>
      <c r="M583">
        <v>0.4</v>
      </c>
      <c r="N583">
        <v>0.41</v>
      </c>
    </row>
    <row r="584" spans="3:14" x14ac:dyDescent="0.2">
      <c r="C584" t="s">
        <v>584</v>
      </c>
      <c r="D584">
        <v>0</v>
      </c>
      <c r="E584">
        <v>0.01</v>
      </c>
      <c r="F584">
        <v>0.03</v>
      </c>
      <c r="G584">
        <v>0.08</v>
      </c>
      <c r="H584">
        <v>0.18</v>
      </c>
      <c r="I584">
        <v>0.34</v>
      </c>
      <c r="J584">
        <v>0.5</v>
      </c>
      <c r="K584">
        <v>0.56999999999999995</v>
      </c>
      <c r="L584">
        <v>0.6</v>
      </c>
      <c r="M584">
        <v>0.61</v>
      </c>
      <c r="N584">
        <v>0.61</v>
      </c>
    </row>
    <row r="585" spans="3:14" x14ac:dyDescent="0.2">
      <c r="C585" t="s">
        <v>585</v>
      </c>
      <c r="D585">
        <v>0.04</v>
      </c>
      <c r="E585">
        <v>0.04</v>
      </c>
      <c r="F585">
        <v>0.05</v>
      </c>
      <c r="G585">
        <v>0.04</v>
      </c>
      <c r="H585">
        <v>7.0000000000000007E-2</v>
      </c>
      <c r="I585">
        <v>0.09</v>
      </c>
      <c r="J585">
        <v>0.11</v>
      </c>
      <c r="K585">
        <v>0.12</v>
      </c>
      <c r="L585">
        <v>0.12</v>
      </c>
      <c r="M585">
        <v>0.12</v>
      </c>
      <c r="N585">
        <v>0.12</v>
      </c>
    </row>
    <row r="586" spans="3:14" x14ac:dyDescent="0.2">
      <c r="C586" t="s">
        <v>586</v>
      </c>
      <c r="D586">
        <v>0.28999999999999998</v>
      </c>
      <c r="E586">
        <v>0.36</v>
      </c>
      <c r="F586">
        <v>0.41</v>
      </c>
      <c r="G586">
        <v>0.45</v>
      </c>
      <c r="H586">
        <v>0.49</v>
      </c>
      <c r="I586">
        <v>0.56000000000000005</v>
      </c>
      <c r="J586">
        <v>0.59</v>
      </c>
      <c r="K586">
        <v>0.6</v>
      </c>
      <c r="L586">
        <v>0.6</v>
      </c>
      <c r="M586">
        <v>0.6</v>
      </c>
      <c r="N586">
        <v>0.6</v>
      </c>
    </row>
    <row r="587" spans="3:14" x14ac:dyDescent="0.2">
      <c r="C587" t="s">
        <v>587</v>
      </c>
      <c r="D587">
        <v>0.02</v>
      </c>
      <c r="E587">
        <v>0.01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</row>
    <row r="588" spans="3:14" x14ac:dyDescent="0.2">
      <c r="C588" t="s">
        <v>588</v>
      </c>
      <c r="D588" s="20">
        <f t="shared" ref="D588:J588" si="53">D568+D571+D572+D576</f>
        <v>32.71</v>
      </c>
      <c r="E588" s="20">
        <f t="shared" si="53"/>
        <v>28.02</v>
      </c>
      <c r="F588" s="20">
        <f t="shared" si="53"/>
        <v>33.72</v>
      </c>
      <c r="G588" s="20">
        <f t="shared" si="53"/>
        <v>35.14</v>
      </c>
      <c r="H588" s="20">
        <f t="shared" si="53"/>
        <v>35.639999999999993</v>
      </c>
      <c r="I588" s="20">
        <f t="shared" si="53"/>
        <v>34.160000000000004</v>
      </c>
      <c r="J588" s="20">
        <f t="shared" si="53"/>
        <v>32.389999999999993</v>
      </c>
      <c r="K588" s="20">
        <f>K568+K572+K576</f>
        <v>30.84</v>
      </c>
      <c r="L588" s="20">
        <f>L568+L572+L576</f>
        <v>33.409999999999997</v>
      </c>
      <c r="M588" s="20">
        <f>M568+M572+M576</f>
        <v>36.17</v>
      </c>
      <c r="N588" s="20">
        <f>N568+N572+N576</f>
        <v>38.349999999999994</v>
      </c>
    </row>
    <row r="589" spans="3:14" x14ac:dyDescent="0.2">
      <c r="C589" t="s">
        <v>589</v>
      </c>
      <c r="D589">
        <v>-1.33</v>
      </c>
      <c r="E589">
        <v>-1.33</v>
      </c>
      <c r="F589">
        <v>-1.53</v>
      </c>
      <c r="G589">
        <v>-2.21</v>
      </c>
      <c r="H589">
        <v>-3.42</v>
      </c>
      <c r="I589">
        <v>-3.42</v>
      </c>
      <c r="J589">
        <v>-3.42</v>
      </c>
      <c r="K589">
        <v>-3.42</v>
      </c>
      <c r="L589">
        <v>-3.42</v>
      </c>
      <c r="M589">
        <v>-3.42</v>
      </c>
      <c r="N589">
        <v>-3.42</v>
      </c>
    </row>
    <row r="590" spans="3:14" x14ac:dyDescent="0.2">
      <c r="C590" s="14" t="s">
        <v>590</v>
      </c>
      <c r="D590" s="32">
        <f>D588+D589</f>
        <v>31.380000000000003</v>
      </c>
      <c r="E590" s="32">
        <f t="shared" ref="E590:N590" si="54">E588+E589</f>
        <v>26.689999999999998</v>
      </c>
      <c r="F590" s="32">
        <f t="shared" si="54"/>
        <v>32.19</v>
      </c>
      <c r="G590" s="32">
        <f t="shared" si="54"/>
        <v>32.93</v>
      </c>
      <c r="H590" s="32">
        <f t="shared" si="54"/>
        <v>32.219999999999992</v>
      </c>
      <c r="I590" s="32">
        <f t="shared" si="54"/>
        <v>30.740000000000002</v>
      </c>
      <c r="J590" s="32">
        <f t="shared" si="54"/>
        <v>28.969999999999992</v>
      </c>
      <c r="K590" s="32">
        <f t="shared" si="54"/>
        <v>27.42</v>
      </c>
      <c r="L590" s="32">
        <f t="shared" si="54"/>
        <v>29.989999999999995</v>
      </c>
      <c r="M590" s="32">
        <f t="shared" si="54"/>
        <v>32.75</v>
      </c>
      <c r="N590" s="32">
        <f t="shared" si="54"/>
        <v>34.929999999999993</v>
      </c>
    </row>
    <row r="591" spans="3:14" x14ac:dyDescent="0.2">
      <c r="C591" t="s">
        <v>591</v>
      </c>
      <c r="D591">
        <v>8.56</v>
      </c>
      <c r="E591">
        <v>8.2200000000000006</v>
      </c>
      <c r="F591">
        <v>7.88</v>
      </c>
      <c r="G591">
        <v>7.88</v>
      </c>
      <c r="H591">
        <v>4.5999999999999996</v>
      </c>
      <c r="I591">
        <v>3.85</v>
      </c>
      <c r="J591">
        <v>3.85</v>
      </c>
      <c r="K591">
        <v>1.19</v>
      </c>
      <c r="L591">
        <v>0.6</v>
      </c>
      <c r="M591" t="s">
        <v>572</v>
      </c>
      <c r="N591" t="s">
        <v>3</v>
      </c>
    </row>
    <row r="592" spans="3:14" x14ac:dyDescent="0.2">
      <c r="C592" t="s">
        <v>592</v>
      </c>
      <c r="D592">
        <v>8.56</v>
      </c>
      <c r="E592">
        <v>8.2200000000000006</v>
      </c>
      <c r="F592">
        <v>7.88</v>
      </c>
      <c r="G592">
        <v>7.88</v>
      </c>
      <c r="H592">
        <v>4.5999999999999996</v>
      </c>
      <c r="I592">
        <v>3.85</v>
      </c>
      <c r="J592">
        <v>3.85</v>
      </c>
      <c r="K592">
        <v>1.19</v>
      </c>
      <c r="L592">
        <v>0.6</v>
      </c>
      <c r="M592" t="s">
        <v>572</v>
      </c>
      <c r="N592" t="s">
        <v>3</v>
      </c>
    </row>
    <row r="593" spans="3:14" x14ac:dyDescent="0.2">
      <c r="C593" t="s">
        <v>593</v>
      </c>
      <c r="D593" t="s">
        <v>3</v>
      </c>
      <c r="E593" t="s">
        <v>572</v>
      </c>
      <c r="F593" t="s">
        <v>572</v>
      </c>
      <c r="G593" t="s">
        <v>3</v>
      </c>
      <c r="H593" t="s">
        <v>3</v>
      </c>
      <c r="I593" t="s">
        <v>3</v>
      </c>
      <c r="J593" t="s">
        <v>3</v>
      </c>
      <c r="K593" t="s">
        <v>3</v>
      </c>
      <c r="L593" t="s">
        <v>3</v>
      </c>
      <c r="M593" t="s">
        <v>3</v>
      </c>
      <c r="N593" t="s">
        <v>3</v>
      </c>
    </row>
    <row r="594" spans="3:14" x14ac:dyDescent="0.2">
      <c r="C594" t="s">
        <v>594</v>
      </c>
      <c r="D594">
        <v>14.39</v>
      </c>
      <c r="E594">
        <v>6.9</v>
      </c>
      <c r="F594">
        <v>11.09</v>
      </c>
      <c r="G594">
        <v>11.48</v>
      </c>
      <c r="H594">
        <v>7.91</v>
      </c>
      <c r="I594">
        <v>6.52</v>
      </c>
      <c r="J594">
        <v>5.46</v>
      </c>
      <c r="K594">
        <v>1.69</v>
      </c>
      <c r="L594">
        <v>4.04</v>
      </c>
      <c r="M594">
        <v>6.63</v>
      </c>
      <c r="N594">
        <v>9.27</v>
      </c>
    </row>
    <row r="595" spans="3:14" x14ac:dyDescent="0.2">
      <c r="C595" t="s">
        <v>612</v>
      </c>
      <c r="D595">
        <v>1.35</v>
      </c>
      <c r="E595">
        <v>1.1399999999999999</v>
      </c>
      <c r="F595">
        <v>1.1399999999999999</v>
      </c>
      <c r="G595">
        <v>1.1399999999999999</v>
      </c>
      <c r="H595">
        <v>1.1399999999999999</v>
      </c>
      <c r="I595">
        <v>1.1399999999999999</v>
      </c>
      <c r="J595">
        <v>1.1399999999999999</v>
      </c>
      <c r="K595">
        <v>1.1399999999999999</v>
      </c>
      <c r="L595">
        <v>0.3</v>
      </c>
      <c r="M595" t="s">
        <v>572</v>
      </c>
      <c r="N595" t="s">
        <v>3</v>
      </c>
    </row>
    <row r="596" spans="3:14" x14ac:dyDescent="0.2">
      <c r="C596" t="s">
        <v>596</v>
      </c>
      <c r="D596">
        <v>13.04</v>
      </c>
      <c r="E596">
        <v>5.76</v>
      </c>
      <c r="F596">
        <v>9.9600000000000009</v>
      </c>
      <c r="G596">
        <v>10.35</v>
      </c>
      <c r="H596">
        <v>6.78</v>
      </c>
      <c r="I596">
        <v>5.39</v>
      </c>
      <c r="J596">
        <v>4.32</v>
      </c>
      <c r="K596">
        <v>0.56000000000000005</v>
      </c>
      <c r="L596">
        <v>3.74</v>
      </c>
      <c r="M596">
        <v>6.63</v>
      </c>
      <c r="N596">
        <v>9.27</v>
      </c>
    </row>
    <row r="597" spans="3:14" x14ac:dyDescent="0.2">
      <c r="C597" s="14" t="s">
        <v>597</v>
      </c>
      <c r="D597" s="32">
        <f>D591-D594</f>
        <v>-5.83</v>
      </c>
      <c r="E597" s="32">
        <f t="shared" ref="E597:L597" si="55">E591-E594</f>
        <v>1.3200000000000003</v>
      </c>
      <c r="F597" s="32">
        <f t="shared" si="55"/>
        <v>-3.21</v>
      </c>
      <c r="G597" s="32">
        <f t="shared" si="55"/>
        <v>-3.6000000000000005</v>
      </c>
      <c r="H597" s="32">
        <f t="shared" si="55"/>
        <v>-3.3100000000000005</v>
      </c>
      <c r="I597" s="32">
        <f t="shared" si="55"/>
        <v>-2.6699999999999995</v>
      </c>
      <c r="J597" s="32">
        <f t="shared" si="55"/>
        <v>-1.6099999999999999</v>
      </c>
      <c r="K597" s="32">
        <f t="shared" si="55"/>
        <v>-0.5</v>
      </c>
      <c r="L597" s="32">
        <f t="shared" si="55"/>
        <v>-3.44</v>
      </c>
      <c r="M597" s="32">
        <v>0</v>
      </c>
      <c r="N597" s="32">
        <v>0</v>
      </c>
    </row>
    <row r="598" spans="3:14" x14ac:dyDescent="0.2">
      <c r="C598" t="s">
        <v>598</v>
      </c>
      <c r="D598" s="20">
        <f>D590+D597</f>
        <v>25.550000000000004</v>
      </c>
      <c r="E598" s="20">
        <f t="shared" ref="E598:N598" si="56">E590+E597</f>
        <v>28.009999999999998</v>
      </c>
      <c r="F598" s="20">
        <f t="shared" si="56"/>
        <v>28.979999999999997</v>
      </c>
      <c r="G598" s="20">
        <f t="shared" si="56"/>
        <v>29.33</v>
      </c>
      <c r="H598" s="20">
        <f t="shared" si="56"/>
        <v>28.909999999999989</v>
      </c>
      <c r="I598" s="20">
        <f t="shared" si="56"/>
        <v>28.070000000000004</v>
      </c>
      <c r="J598" s="20">
        <f t="shared" si="56"/>
        <v>27.359999999999992</v>
      </c>
      <c r="K598" s="20">
        <f t="shared" si="56"/>
        <v>26.92</v>
      </c>
      <c r="L598" s="20">
        <f t="shared" si="56"/>
        <v>26.549999999999994</v>
      </c>
      <c r="M598" s="20">
        <f t="shared" si="56"/>
        <v>32.75</v>
      </c>
      <c r="N598" s="20">
        <f t="shared" si="56"/>
        <v>34.929999999999993</v>
      </c>
    </row>
    <row r="600" spans="3:14" x14ac:dyDescent="0.2">
      <c r="C600" t="s">
        <v>599</v>
      </c>
      <c r="D600">
        <v>28.23</v>
      </c>
      <c r="E600">
        <v>30.48</v>
      </c>
      <c r="F600">
        <v>31.64</v>
      </c>
      <c r="G600">
        <v>32.67</v>
      </c>
      <c r="H600">
        <v>33.47</v>
      </c>
      <c r="I600">
        <v>32.619999999999997</v>
      </c>
      <c r="J600">
        <v>31.92</v>
      </c>
      <c r="K600">
        <v>31.48</v>
      </c>
      <c r="L600">
        <v>30.26</v>
      </c>
      <c r="M600">
        <v>29.54</v>
      </c>
      <c r="N600">
        <v>29.08</v>
      </c>
    </row>
    <row r="604" spans="3:14" s="2" customFormat="1" ht="15" x14ac:dyDescent="0.25">
      <c r="C604" s="2" t="s">
        <v>616</v>
      </c>
    </row>
    <row r="605" spans="3:14" s="2" customFormat="1" ht="15" x14ac:dyDescent="0.25"/>
    <row r="606" spans="3:14" s="2" customFormat="1" ht="15" x14ac:dyDescent="0.25">
      <c r="C606" s="9" t="s">
        <v>646</v>
      </c>
      <c r="D606" s="2" t="s">
        <v>643</v>
      </c>
    </row>
    <row r="607" spans="3:14" s="2" customFormat="1" ht="15" x14ac:dyDescent="0.25">
      <c r="C607" s="2" t="s">
        <v>618</v>
      </c>
    </row>
    <row r="608" spans="3:14" s="2" customFormat="1" ht="15" x14ac:dyDescent="0.25">
      <c r="D608" s="2">
        <v>2000</v>
      </c>
      <c r="E608" s="2">
        <v>2005</v>
      </c>
      <c r="F608" s="2">
        <v>2010</v>
      </c>
      <c r="G608" s="2">
        <v>2015</v>
      </c>
      <c r="H608" s="2">
        <v>2020</v>
      </c>
      <c r="I608" s="2">
        <v>2025</v>
      </c>
      <c r="J608" s="2">
        <v>2030</v>
      </c>
      <c r="K608" s="2">
        <v>2035</v>
      </c>
      <c r="L608" s="2">
        <v>2040</v>
      </c>
      <c r="M608" s="2">
        <v>2045</v>
      </c>
      <c r="N608" s="2">
        <v>2050</v>
      </c>
    </row>
    <row r="609" spans="3:14" x14ac:dyDescent="0.2">
      <c r="C609" t="s">
        <v>619</v>
      </c>
      <c r="D609">
        <v>2.9</v>
      </c>
      <c r="E609">
        <v>2.2000000000000002</v>
      </c>
      <c r="F609">
        <v>2.2000000000000002</v>
      </c>
      <c r="G609">
        <v>2.7</v>
      </c>
      <c r="H609">
        <v>2.7</v>
      </c>
      <c r="I609">
        <v>2.9</v>
      </c>
      <c r="J609">
        <v>3</v>
      </c>
      <c r="K609">
        <v>2.4</v>
      </c>
      <c r="L609">
        <v>2.4</v>
      </c>
      <c r="M609">
        <v>2.4</v>
      </c>
      <c r="N609">
        <v>2.4</v>
      </c>
    </row>
    <row r="610" spans="3:14" x14ac:dyDescent="0.2">
      <c r="C610" t="s">
        <v>332</v>
      </c>
      <c r="D610">
        <v>10.9</v>
      </c>
      <c r="E610">
        <v>11.7</v>
      </c>
      <c r="F610">
        <v>11.6</v>
      </c>
      <c r="G610">
        <v>15.9</v>
      </c>
      <c r="H610">
        <v>18.7</v>
      </c>
      <c r="I610">
        <v>28.5</v>
      </c>
      <c r="J610">
        <v>39.1</v>
      </c>
      <c r="K610">
        <v>73.5</v>
      </c>
      <c r="L610">
        <v>58.8</v>
      </c>
      <c r="M610">
        <v>46.8</v>
      </c>
      <c r="N610">
        <v>33.700000000000003</v>
      </c>
    </row>
    <row r="611" spans="3:14" x14ac:dyDescent="0.2">
      <c r="C611" t="s">
        <v>101</v>
      </c>
      <c r="D611">
        <v>2.2000000000000002</v>
      </c>
      <c r="E611">
        <v>2.7</v>
      </c>
      <c r="F611">
        <v>5.9</v>
      </c>
      <c r="G611">
        <v>11.2</v>
      </c>
      <c r="H611">
        <v>19.600000000000001</v>
      </c>
      <c r="I611">
        <v>31.7</v>
      </c>
      <c r="J611">
        <v>40.4</v>
      </c>
      <c r="K611">
        <v>41.5</v>
      </c>
      <c r="L611">
        <v>41.3</v>
      </c>
      <c r="M611">
        <v>40</v>
      </c>
      <c r="N611">
        <v>38.4</v>
      </c>
    </row>
    <row r="612" spans="3:14" x14ac:dyDescent="0.2">
      <c r="C612" t="s">
        <v>620</v>
      </c>
      <c r="D612">
        <v>42.3</v>
      </c>
      <c r="E612">
        <v>51.8</v>
      </c>
      <c r="F612">
        <v>56.6</v>
      </c>
      <c r="G612">
        <v>48.9</v>
      </c>
      <c r="H612">
        <v>52.7</v>
      </c>
      <c r="I612">
        <v>55.3</v>
      </c>
      <c r="J612">
        <v>57.1</v>
      </c>
      <c r="K612">
        <v>56.4</v>
      </c>
      <c r="L612">
        <v>56</v>
      </c>
      <c r="M612">
        <v>53.8</v>
      </c>
      <c r="N612">
        <v>53.1</v>
      </c>
    </row>
    <row r="613" spans="3:14" x14ac:dyDescent="0.2">
      <c r="C613" t="s">
        <v>621</v>
      </c>
      <c r="D613">
        <v>261.89999999999998</v>
      </c>
      <c r="E613">
        <v>233</v>
      </c>
      <c r="F613">
        <v>266.10000000000002</v>
      </c>
      <c r="G613">
        <v>260.10000000000002</v>
      </c>
      <c r="H613">
        <v>228.6</v>
      </c>
      <c r="I613">
        <v>166.6</v>
      </c>
      <c r="J613">
        <v>90.6</v>
      </c>
      <c r="K613">
        <v>0</v>
      </c>
      <c r="L613">
        <v>0</v>
      </c>
      <c r="M613">
        <v>0</v>
      </c>
      <c r="N613">
        <v>0</v>
      </c>
    </row>
    <row r="614" spans="3:14" x14ac:dyDescent="0.2">
      <c r="C614" t="s">
        <v>132</v>
      </c>
      <c r="D614">
        <v>138.19999999999999</v>
      </c>
      <c r="E614">
        <v>123.6</v>
      </c>
      <c r="F614">
        <v>127.5</v>
      </c>
      <c r="G614">
        <v>140.4</v>
      </c>
      <c r="H614">
        <v>151.1</v>
      </c>
      <c r="I614">
        <v>152.5</v>
      </c>
      <c r="J614">
        <v>153.6</v>
      </c>
      <c r="K614">
        <v>154.9</v>
      </c>
      <c r="L614">
        <v>156.4</v>
      </c>
      <c r="M614">
        <v>157.69999999999999</v>
      </c>
      <c r="N614">
        <v>158.9</v>
      </c>
    </row>
    <row r="615" spans="3:14" x14ac:dyDescent="0.2">
      <c r="C615" t="s">
        <v>622</v>
      </c>
      <c r="D615">
        <v>0</v>
      </c>
      <c r="E615">
        <v>0</v>
      </c>
      <c r="F615">
        <v>0.1</v>
      </c>
      <c r="G615">
        <v>1.3</v>
      </c>
      <c r="H615">
        <v>2.4</v>
      </c>
      <c r="I615">
        <v>3.6</v>
      </c>
      <c r="J615">
        <v>5.3</v>
      </c>
      <c r="K615">
        <v>6.3</v>
      </c>
      <c r="L615">
        <v>9.3000000000000007</v>
      </c>
      <c r="M615">
        <v>12.3</v>
      </c>
      <c r="N615">
        <v>15.3</v>
      </c>
    </row>
    <row r="616" spans="3:14" x14ac:dyDescent="0.2">
      <c r="C616" t="s">
        <v>623</v>
      </c>
      <c r="D616">
        <v>0</v>
      </c>
      <c r="E616">
        <v>0.1</v>
      </c>
      <c r="F616">
        <v>0.3</v>
      </c>
      <c r="G616">
        <v>1</v>
      </c>
      <c r="H616">
        <v>1.9</v>
      </c>
      <c r="I616">
        <v>3.5</v>
      </c>
      <c r="J616">
        <v>6.9</v>
      </c>
      <c r="K616">
        <v>16</v>
      </c>
      <c r="L616">
        <v>24.3</v>
      </c>
      <c r="M616">
        <v>33.200000000000003</v>
      </c>
      <c r="N616">
        <v>40</v>
      </c>
    </row>
    <row r="617" spans="3:14" x14ac:dyDescent="0.2">
      <c r="C617" t="s">
        <v>47</v>
      </c>
      <c r="D617">
        <v>0</v>
      </c>
      <c r="E617">
        <v>0</v>
      </c>
      <c r="F617">
        <v>0</v>
      </c>
      <c r="G617">
        <v>0.4</v>
      </c>
      <c r="H617">
        <v>0.7</v>
      </c>
      <c r="I617">
        <v>1.4</v>
      </c>
      <c r="J617">
        <v>2.8</v>
      </c>
      <c r="K617">
        <v>5.0999999999999996</v>
      </c>
      <c r="L617">
        <v>8.6999999999999993</v>
      </c>
      <c r="M617">
        <v>12.5</v>
      </c>
      <c r="N617">
        <v>15.8</v>
      </c>
    </row>
    <row r="618" spans="3:14" x14ac:dyDescent="0.2">
      <c r="C618" t="s">
        <v>624</v>
      </c>
      <c r="D618">
        <v>458.3</v>
      </c>
      <c r="E618">
        <v>425.1</v>
      </c>
      <c r="F618">
        <v>470.3</v>
      </c>
      <c r="G618">
        <v>481.8</v>
      </c>
      <c r="H618">
        <v>478.3</v>
      </c>
      <c r="I618">
        <v>445.9</v>
      </c>
      <c r="J618">
        <v>398.7</v>
      </c>
      <c r="K618">
        <v>356.2</v>
      </c>
      <c r="L618">
        <v>357.2</v>
      </c>
      <c r="M618">
        <v>358.8</v>
      </c>
      <c r="N618">
        <v>357.7</v>
      </c>
    </row>
    <row r="619" spans="3:14" x14ac:dyDescent="0.2">
      <c r="C619" t="s">
        <v>625</v>
      </c>
      <c r="D619">
        <v>-26.5</v>
      </c>
      <c r="E619">
        <v>15.2</v>
      </c>
      <c r="F619">
        <v>7.4</v>
      </c>
      <c r="G619">
        <v>0.9</v>
      </c>
      <c r="H619">
        <v>3.2</v>
      </c>
      <c r="I619">
        <v>2.8</v>
      </c>
      <c r="J619">
        <v>6.6</v>
      </c>
      <c r="K619">
        <v>-0.8</v>
      </c>
      <c r="L619">
        <v>-11.2</v>
      </c>
      <c r="M619">
        <v>-23.9</v>
      </c>
      <c r="N619">
        <v>-33.4</v>
      </c>
    </row>
    <row r="620" spans="3:14" x14ac:dyDescent="0.2">
      <c r="C620" t="s">
        <v>626</v>
      </c>
      <c r="D620">
        <v>-7.5</v>
      </c>
      <c r="E620">
        <v>-8.1999999999999993</v>
      </c>
      <c r="F620">
        <v>-9.5</v>
      </c>
      <c r="G620">
        <v>-14.3</v>
      </c>
      <c r="H620">
        <v>-19.399999999999999</v>
      </c>
      <c r="I620">
        <v>-25.3</v>
      </c>
      <c r="J620">
        <v>-29.9</v>
      </c>
      <c r="K620">
        <v>-29.8</v>
      </c>
      <c r="L620">
        <v>-29.2</v>
      </c>
      <c r="M620">
        <v>-28.9</v>
      </c>
      <c r="N620">
        <v>-28.3</v>
      </c>
    </row>
    <row r="621" spans="3:14" x14ac:dyDescent="0.2">
      <c r="C621" t="s">
        <v>627</v>
      </c>
      <c r="D621">
        <v>424.3</v>
      </c>
      <c r="E621">
        <v>432.2</v>
      </c>
      <c r="F621">
        <v>468.1</v>
      </c>
      <c r="G621">
        <v>468.4</v>
      </c>
      <c r="H621">
        <v>462.1</v>
      </c>
      <c r="I621">
        <v>423.4</v>
      </c>
      <c r="J621">
        <v>375.4</v>
      </c>
      <c r="K621">
        <v>325.60000000000002</v>
      </c>
      <c r="L621">
        <v>316.8</v>
      </c>
      <c r="M621">
        <v>306</v>
      </c>
      <c r="N621">
        <v>296</v>
      </c>
    </row>
    <row r="622" spans="3:14" x14ac:dyDescent="0.2">
      <c r="C622" t="s">
        <v>628</v>
      </c>
      <c r="D622" s="75">
        <v>0.60099999999999998</v>
      </c>
      <c r="E622" s="75">
        <v>0.58099999999999996</v>
      </c>
      <c r="F622" s="75">
        <v>0.59499999999999997</v>
      </c>
      <c r="G622" s="75">
        <v>0.57799999999999996</v>
      </c>
      <c r="H622" s="75">
        <v>0.52300000000000002</v>
      </c>
      <c r="I622" s="75">
        <v>0.44400000000000001</v>
      </c>
      <c r="J622" s="75">
        <v>0.33300000000000002</v>
      </c>
      <c r="K622" s="75">
        <v>0.21299999999999999</v>
      </c>
      <c r="L622" s="75">
        <v>0.17100000000000001</v>
      </c>
      <c r="M622" s="75">
        <v>0.13700000000000001</v>
      </c>
      <c r="N622" s="75">
        <v>0.10100000000000001</v>
      </c>
    </row>
    <row r="625" spans="2:14" s="2" customFormat="1" ht="15" x14ac:dyDescent="0.25"/>
    <row r="626" spans="2:14" s="2" customFormat="1" ht="15" x14ac:dyDescent="0.25">
      <c r="C626" s="9" t="s">
        <v>647</v>
      </c>
      <c r="D626" s="2" t="s">
        <v>648</v>
      </c>
    </row>
    <row r="627" spans="2:14" s="2" customFormat="1" ht="15" x14ac:dyDescent="0.25">
      <c r="B627" s="2" t="s">
        <v>631</v>
      </c>
    </row>
    <row r="628" spans="2:14" s="2" customFormat="1" ht="15" x14ac:dyDescent="0.25">
      <c r="B628" s="13" t="s">
        <v>567</v>
      </c>
      <c r="D628" s="2">
        <v>2000</v>
      </c>
      <c r="E628" s="2">
        <v>2005</v>
      </c>
      <c r="F628" s="2">
        <v>2010</v>
      </c>
      <c r="G628" s="2">
        <v>2015</v>
      </c>
      <c r="H628" s="2">
        <v>2020</v>
      </c>
      <c r="I628" s="2">
        <v>2025</v>
      </c>
      <c r="J628" s="2">
        <v>2030</v>
      </c>
      <c r="K628" s="2">
        <v>2035</v>
      </c>
      <c r="L628" s="2">
        <v>2040</v>
      </c>
      <c r="M628" s="2">
        <v>2045</v>
      </c>
      <c r="N628" s="2">
        <v>2050</v>
      </c>
    </row>
    <row r="629" spans="2:14" x14ac:dyDescent="0.2">
      <c r="C629" t="s">
        <v>568</v>
      </c>
      <c r="D629">
        <v>38.380000000000003</v>
      </c>
      <c r="E629">
        <v>34.340000000000003</v>
      </c>
      <c r="F629">
        <v>35.42</v>
      </c>
      <c r="G629">
        <v>39</v>
      </c>
      <c r="H629">
        <v>41.96</v>
      </c>
      <c r="I629">
        <v>42.35</v>
      </c>
      <c r="J629">
        <v>42.67</v>
      </c>
      <c r="K629">
        <v>43.02</v>
      </c>
      <c r="L629">
        <v>43.44</v>
      </c>
      <c r="M629">
        <v>43.82</v>
      </c>
      <c r="N629">
        <v>44.15</v>
      </c>
    </row>
    <row r="630" spans="2:14" x14ac:dyDescent="0.2">
      <c r="C630" t="s">
        <v>633</v>
      </c>
      <c r="D630">
        <v>38.380000000000003</v>
      </c>
      <c r="E630">
        <v>34.340000000000003</v>
      </c>
      <c r="F630">
        <v>35.42</v>
      </c>
      <c r="G630">
        <v>36.950000000000003</v>
      </c>
      <c r="H630">
        <v>36.869999999999997</v>
      </c>
      <c r="I630">
        <v>36.83</v>
      </c>
      <c r="J630">
        <v>36.75</v>
      </c>
      <c r="K630">
        <v>36.54</v>
      </c>
      <c r="L630">
        <v>36.409999999999997</v>
      </c>
      <c r="M630">
        <v>35.85</v>
      </c>
      <c r="N630">
        <v>35.57</v>
      </c>
    </row>
    <row r="631" spans="2:14" x14ac:dyDescent="0.2">
      <c r="C631" t="s">
        <v>603</v>
      </c>
      <c r="D631" t="s">
        <v>3</v>
      </c>
      <c r="E631" t="s">
        <v>3</v>
      </c>
      <c r="F631" t="s">
        <v>3</v>
      </c>
      <c r="G631">
        <v>2.0499999999999998</v>
      </c>
      <c r="H631">
        <v>5.09</v>
      </c>
      <c r="I631">
        <v>5.52</v>
      </c>
      <c r="J631">
        <v>5.91</v>
      </c>
      <c r="K631">
        <v>6.48</v>
      </c>
      <c r="L631">
        <v>7.02</v>
      </c>
      <c r="M631">
        <v>7.96</v>
      </c>
      <c r="N631">
        <v>8.57</v>
      </c>
    </row>
    <row r="632" spans="2:14" x14ac:dyDescent="0.2">
      <c r="C632" t="s">
        <v>571</v>
      </c>
      <c r="D632">
        <v>24.73</v>
      </c>
      <c r="E632">
        <v>21.9</v>
      </c>
      <c r="F632">
        <v>25.13</v>
      </c>
      <c r="G632">
        <v>24.58</v>
      </c>
      <c r="H632">
        <v>21.68</v>
      </c>
      <c r="I632">
        <v>15.98</v>
      </c>
      <c r="J632">
        <v>8.81</v>
      </c>
      <c r="K632" t="s">
        <v>572</v>
      </c>
      <c r="L632" t="s">
        <v>3</v>
      </c>
      <c r="M632" t="s">
        <v>3</v>
      </c>
      <c r="N632" t="s">
        <v>3</v>
      </c>
    </row>
    <row r="633" spans="2:14" x14ac:dyDescent="0.2">
      <c r="C633" t="s">
        <v>604</v>
      </c>
      <c r="D633">
        <v>1.79</v>
      </c>
      <c r="E633">
        <v>2.0699999999999998</v>
      </c>
      <c r="F633">
        <v>2.1800000000000002</v>
      </c>
      <c r="G633">
        <v>2.7</v>
      </c>
      <c r="H633">
        <v>3.13</v>
      </c>
      <c r="I633">
        <v>3.38</v>
      </c>
      <c r="J633">
        <v>3.62</v>
      </c>
      <c r="K633">
        <v>3.58</v>
      </c>
      <c r="L633">
        <v>3.44</v>
      </c>
      <c r="M633">
        <v>3.45</v>
      </c>
      <c r="N633">
        <v>3.45</v>
      </c>
    </row>
    <row r="634" spans="2:14" x14ac:dyDescent="0.2">
      <c r="C634" t="s">
        <v>605</v>
      </c>
      <c r="D634">
        <v>1.79</v>
      </c>
      <c r="E634">
        <v>2.0699999999999998</v>
      </c>
      <c r="F634">
        <v>2.1800000000000002</v>
      </c>
      <c r="G634">
        <v>1.76</v>
      </c>
      <c r="H634">
        <v>1.48</v>
      </c>
      <c r="I634">
        <v>0.92</v>
      </c>
      <c r="J634">
        <v>0.57999999999999996</v>
      </c>
      <c r="K634">
        <v>0.32</v>
      </c>
      <c r="L634" t="s">
        <v>572</v>
      </c>
      <c r="M634" t="s">
        <v>3</v>
      </c>
      <c r="N634" t="s">
        <v>3</v>
      </c>
    </row>
    <row r="635" spans="2:14" x14ac:dyDescent="0.2">
      <c r="C635" t="s">
        <v>606</v>
      </c>
      <c r="D635" t="s">
        <v>572</v>
      </c>
      <c r="E635" t="s">
        <v>572</v>
      </c>
      <c r="F635" t="s">
        <v>3</v>
      </c>
      <c r="G635" t="s">
        <v>3</v>
      </c>
      <c r="H635" t="s">
        <v>3</v>
      </c>
      <c r="I635" t="s">
        <v>3</v>
      </c>
      <c r="J635" t="s">
        <v>3</v>
      </c>
      <c r="K635" t="s">
        <v>3</v>
      </c>
      <c r="L635" t="s">
        <v>3</v>
      </c>
      <c r="M635" t="s">
        <v>3</v>
      </c>
      <c r="N635" t="s">
        <v>3</v>
      </c>
    </row>
    <row r="636" spans="2:14" x14ac:dyDescent="0.2">
      <c r="C636" t="s">
        <v>607</v>
      </c>
      <c r="D636" t="s">
        <v>572</v>
      </c>
      <c r="E636" t="s">
        <v>572</v>
      </c>
      <c r="F636" t="s">
        <v>3</v>
      </c>
      <c r="G636">
        <v>0.94</v>
      </c>
      <c r="H636">
        <v>1.65</v>
      </c>
      <c r="I636">
        <v>2.4700000000000002</v>
      </c>
      <c r="J636">
        <v>3.04</v>
      </c>
      <c r="K636">
        <v>3.26</v>
      </c>
      <c r="L636">
        <v>3.44</v>
      </c>
      <c r="M636">
        <v>3.45</v>
      </c>
      <c r="N636">
        <v>3.45</v>
      </c>
    </row>
    <row r="637" spans="2:14" x14ac:dyDescent="0.2">
      <c r="C637" t="s">
        <v>608</v>
      </c>
      <c r="D637">
        <v>0.81</v>
      </c>
      <c r="E637">
        <v>1.01</v>
      </c>
      <c r="F637">
        <v>1.38</v>
      </c>
      <c r="G637">
        <v>2.36</v>
      </c>
      <c r="H637">
        <v>3.68</v>
      </c>
      <c r="I637">
        <v>5.66</v>
      </c>
      <c r="J637">
        <v>8.24</v>
      </c>
      <c r="K637">
        <v>11.94</v>
      </c>
      <c r="L637">
        <v>16.149999999999999</v>
      </c>
      <c r="M637">
        <v>20.57</v>
      </c>
      <c r="N637">
        <v>24.22</v>
      </c>
    </row>
    <row r="638" spans="2:14" x14ac:dyDescent="0.2">
      <c r="C638" t="s">
        <v>609</v>
      </c>
      <c r="D638">
        <v>0.81</v>
      </c>
      <c r="E638">
        <v>1.01</v>
      </c>
      <c r="F638">
        <v>1.38</v>
      </c>
      <c r="G638">
        <v>1.03</v>
      </c>
      <c r="H638">
        <v>0.92</v>
      </c>
      <c r="I638">
        <v>0.7</v>
      </c>
      <c r="J638">
        <v>0.4</v>
      </c>
      <c r="K638">
        <v>0.1</v>
      </c>
      <c r="L638">
        <v>0.01</v>
      </c>
      <c r="M638" t="s">
        <v>3</v>
      </c>
      <c r="N638" t="s">
        <v>3</v>
      </c>
    </row>
    <row r="639" spans="2:14" x14ac:dyDescent="0.2">
      <c r="C639" t="s">
        <v>610</v>
      </c>
      <c r="D639" t="s">
        <v>572</v>
      </c>
      <c r="E639" t="s">
        <v>3</v>
      </c>
      <c r="F639" t="s">
        <v>3</v>
      </c>
      <c r="G639">
        <v>1.34</v>
      </c>
      <c r="H639">
        <v>2.77</v>
      </c>
      <c r="I639">
        <v>4.95</v>
      </c>
      <c r="J639">
        <v>7.84</v>
      </c>
      <c r="K639">
        <v>11.84</v>
      </c>
      <c r="L639">
        <v>16.14</v>
      </c>
      <c r="M639">
        <v>20.57</v>
      </c>
      <c r="N639">
        <v>24.22</v>
      </c>
    </row>
    <row r="640" spans="2:14" x14ac:dyDescent="0.2">
      <c r="C640" t="s">
        <v>580</v>
      </c>
      <c r="D640">
        <v>0.01</v>
      </c>
      <c r="E640">
        <v>0.02</v>
      </c>
      <c r="F640">
        <v>0.08</v>
      </c>
      <c r="G640">
        <v>0.28000000000000003</v>
      </c>
      <c r="H640">
        <v>0.52</v>
      </c>
      <c r="I640">
        <v>0.98</v>
      </c>
      <c r="J640">
        <v>1.91</v>
      </c>
      <c r="K640">
        <v>4.4400000000000004</v>
      </c>
      <c r="L640">
        <v>6.74</v>
      </c>
      <c r="M640">
        <v>9.23</v>
      </c>
      <c r="N640">
        <v>11.12</v>
      </c>
    </row>
    <row r="641" spans="3:14" x14ac:dyDescent="0.2">
      <c r="C641" t="s">
        <v>581</v>
      </c>
      <c r="D641">
        <v>0</v>
      </c>
      <c r="E641">
        <v>0.01</v>
      </c>
      <c r="F641">
        <v>0.04</v>
      </c>
      <c r="G641">
        <v>0.35</v>
      </c>
      <c r="H641">
        <v>0.66</v>
      </c>
      <c r="I641">
        <v>0.99</v>
      </c>
      <c r="J641">
        <v>1.46</v>
      </c>
      <c r="K641">
        <v>1.76</v>
      </c>
      <c r="L641">
        <v>2.59</v>
      </c>
      <c r="M641">
        <v>3.43</v>
      </c>
      <c r="N641">
        <v>4.26</v>
      </c>
    </row>
    <row r="642" spans="3:14" x14ac:dyDescent="0.2">
      <c r="C642" t="s">
        <v>582</v>
      </c>
      <c r="D642" t="s">
        <v>572</v>
      </c>
      <c r="E642" t="s">
        <v>572</v>
      </c>
      <c r="F642" t="s">
        <v>3</v>
      </c>
      <c r="G642" t="s">
        <v>3</v>
      </c>
      <c r="H642" t="s">
        <v>3</v>
      </c>
      <c r="I642" t="s">
        <v>3</v>
      </c>
      <c r="J642" t="s">
        <v>3</v>
      </c>
      <c r="K642" t="s">
        <v>3</v>
      </c>
      <c r="L642" t="s">
        <v>3</v>
      </c>
      <c r="M642" t="s">
        <v>3</v>
      </c>
      <c r="N642" t="s">
        <v>3</v>
      </c>
    </row>
    <row r="643" spans="3:14" x14ac:dyDescent="0.2">
      <c r="C643" t="s">
        <v>47</v>
      </c>
      <c r="D643" t="s">
        <v>572</v>
      </c>
      <c r="E643" t="s">
        <v>572</v>
      </c>
      <c r="F643" t="s">
        <v>3</v>
      </c>
      <c r="G643">
        <v>0.1</v>
      </c>
      <c r="H643">
        <v>0.2</v>
      </c>
      <c r="I643">
        <v>0.39</v>
      </c>
      <c r="J643">
        <v>0.78</v>
      </c>
      <c r="K643">
        <v>1.43</v>
      </c>
      <c r="L643">
        <v>2.41</v>
      </c>
      <c r="M643">
        <v>3.48</v>
      </c>
      <c r="N643">
        <v>4.3899999999999997</v>
      </c>
    </row>
    <row r="644" spans="3:14" x14ac:dyDescent="0.2">
      <c r="C644" t="s">
        <v>583</v>
      </c>
      <c r="D644">
        <v>0.01</v>
      </c>
      <c r="E644">
        <v>0.03</v>
      </c>
      <c r="F644">
        <v>0.14000000000000001</v>
      </c>
      <c r="G644">
        <v>0.33</v>
      </c>
      <c r="H644">
        <v>0.6</v>
      </c>
      <c r="I644">
        <v>0.97</v>
      </c>
      <c r="J644">
        <v>1.21</v>
      </c>
      <c r="K644">
        <v>1.21</v>
      </c>
      <c r="L644">
        <v>1.23</v>
      </c>
      <c r="M644">
        <v>1.23</v>
      </c>
      <c r="N644">
        <v>1.24</v>
      </c>
    </row>
    <row r="645" spans="3:14" x14ac:dyDescent="0.2">
      <c r="C645" t="s">
        <v>584</v>
      </c>
      <c r="D645">
        <v>0.01</v>
      </c>
      <c r="E645">
        <v>0.02</v>
      </c>
      <c r="F645">
        <v>0.08</v>
      </c>
      <c r="G645">
        <v>0.21</v>
      </c>
      <c r="H645">
        <v>0.46</v>
      </c>
      <c r="I645">
        <v>0.88</v>
      </c>
      <c r="J645">
        <v>1.29</v>
      </c>
      <c r="K645">
        <v>1.48</v>
      </c>
      <c r="L645">
        <v>1.55</v>
      </c>
      <c r="M645">
        <v>1.58</v>
      </c>
      <c r="N645">
        <v>1.58</v>
      </c>
    </row>
    <row r="646" spans="3:14" x14ac:dyDescent="0.2">
      <c r="C646" t="s">
        <v>585</v>
      </c>
      <c r="D646">
        <v>0.09</v>
      </c>
      <c r="E646">
        <v>0.11</v>
      </c>
      <c r="F646">
        <v>0.12</v>
      </c>
      <c r="G646">
        <v>0.1</v>
      </c>
      <c r="H646">
        <v>0.16</v>
      </c>
      <c r="I646">
        <v>0.22</v>
      </c>
      <c r="J646">
        <v>0.27</v>
      </c>
      <c r="K646">
        <v>0.28999999999999998</v>
      </c>
      <c r="L646">
        <v>0.28999999999999998</v>
      </c>
      <c r="M646">
        <v>0.3</v>
      </c>
      <c r="N646">
        <v>0.3</v>
      </c>
    </row>
    <row r="647" spans="3:14" x14ac:dyDescent="0.2">
      <c r="C647" t="s">
        <v>586</v>
      </c>
      <c r="D647">
        <v>0.63</v>
      </c>
      <c r="E647">
        <v>0.8</v>
      </c>
      <c r="F647">
        <v>0.92</v>
      </c>
      <c r="G647">
        <v>0.99</v>
      </c>
      <c r="H647">
        <v>1.1000000000000001</v>
      </c>
      <c r="I647">
        <v>1.23</v>
      </c>
      <c r="J647">
        <v>1.32</v>
      </c>
      <c r="K647">
        <v>1.32</v>
      </c>
      <c r="L647">
        <v>1.33</v>
      </c>
      <c r="M647">
        <v>1.33</v>
      </c>
      <c r="N647">
        <v>1.33</v>
      </c>
    </row>
    <row r="648" spans="3:14" x14ac:dyDescent="0.2">
      <c r="C648" t="s">
        <v>587</v>
      </c>
      <c r="D648">
        <v>0.04</v>
      </c>
      <c r="E648">
        <v>0.02</v>
      </c>
      <c r="F648">
        <v>0</v>
      </c>
      <c r="G648">
        <v>0.01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</row>
    <row r="649" spans="3:14" x14ac:dyDescent="0.2">
      <c r="C649" t="s">
        <v>588</v>
      </c>
      <c r="D649" s="20">
        <f t="shared" ref="D649:J649" si="57">D629+D632+D633+D637</f>
        <v>65.710000000000008</v>
      </c>
      <c r="E649" s="20">
        <f t="shared" si="57"/>
        <v>59.32</v>
      </c>
      <c r="F649" s="20">
        <f t="shared" si="57"/>
        <v>64.11</v>
      </c>
      <c r="G649" s="20">
        <f t="shared" si="57"/>
        <v>68.64</v>
      </c>
      <c r="H649" s="20">
        <f t="shared" si="57"/>
        <v>70.45</v>
      </c>
      <c r="I649" s="20">
        <f t="shared" si="57"/>
        <v>67.37</v>
      </c>
      <c r="J649" s="20">
        <f t="shared" si="57"/>
        <v>63.34</v>
      </c>
      <c r="K649" s="20">
        <f>K629+K633+K637</f>
        <v>58.54</v>
      </c>
      <c r="L649" s="20">
        <f>L629+L633+L637</f>
        <v>63.029999999999994</v>
      </c>
      <c r="M649" s="20">
        <f>M629+M633+M637</f>
        <v>67.84</v>
      </c>
      <c r="N649" s="20">
        <f>N629+N633+N637</f>
        <v>71.819999999999993</v>
      </c>
    </row>
    <row r="650" spans="3:14" x14ac:dyDescent="0.2">
      <c r="C650" t="s">
        <v>589</v>
      </c>
      <c r="D650">
        <v>-2.2200000000000002</v>
      </c>
      <c r="E650">
        <v>-2.2200000000000002</v>
      </c>
      <c r="F650">
        <v>-2.56</v>
      </c>
      <c r="G650">
        <v>-4.34</v>
      </c>
      <c r="H650">
        <v>-7.54</v>
      </c>
      <c r="I650">
        <v>-7.54</v>
      </c>
      <c r="J650">
        <v>-7.54</v>
      </c>
      <c r="K650">
        <v>-7.54</v>
      </c>
      <c r="L650">
        <v>-7.54</v>
      </c>
      <c r="M650">
        <v>-7.54</v>
      </c>
      <c r="N650">
        <v>-7.54</v>
      </c>
    </row>
    <row r="651" spans="3:14" x14ac:dyDescent="0.2">
      <c r="C651" s="14" t="s">
        <v>590</v>
      </c>
      <c r="D651" s="32">
        <f>D649+D650</f>
        <v>63.490000000000009</v>
      </c>
      <c r="E651" s="32">
        <f t="shared" ref="E651:N651" si="58">E649+E650</f>
        <v>57.1</v>
      </c>
      <c r="F651" s="32">
        <f t="shared" si="58"/>
        <v>61.55</v>
      </c>
      <c r="G651" s="32">
        <f t="shared" si="58"/>
        <v>64.3</v>
      </c>
      <c r="H651" s="32">
        <f t="shared" si="58"/>
        <v>62.910000000000004</v>
      </c>
      <c r="I651" s="32">
        <f t="shared" si="58"/>
        <v>59.830000000000005</v>
      </c>
      <c r="J651" s="32">
        <f t="shared" si="58"/>
        <v>55.800000000000004</v>
      </c>
      <c r="K651" s="32">
        <f t="shared" si="58"/>
        <v>51</v>
      </c>
      <c r="L651" s="32">
        <f t="shared" si="58"/>
        <v>55.489999999999995</v>
      </c>
      <c r="M651" s="32">
        <f t="shared" si="58"/>
        <v>60.300000000000004</v>
      </c>
      <c r="N651" s="32">
        <f t="shared" si="58"/>
        <v>64.279999999999987</v>
      </c>
    </row>
    <row r="652" spans="3:14" x14ac:dyDescent="0.2">
      <c r="C652" t="s">
        <v>591</v>
      </c>
      <c r="D652">
        <v>18.72</v>
      </c>
      <c r="E652">
        <v>17.98</v>
      </c>
      <c r="F652">
        <v>17.239999999999998</v>
      </c>
      <c r="G652">
        <v>17.239999999999998</v>
      </c>
      <c r="H652">
        <v>10.06</v>
      </c>
      <c r="I652">
        <v>9.92</v>
      </c>
      <c r="J652">
        <v>11.52</v>
      </c>
      <c r="K652">
        <v>11.74</v>
      </c>
      <c r="L652">
        <v>8.14</v>
      </c>
      <c r="M652">
        <v>4.7699999999999996</v>
      </c>
      <c r="N652">
        <v>2.56</v>
      </c>
    </row>
    <row r="653" spans="3:14" x14ac:dyDescent="0.2">
      <c r="C653" t="s">
        <v>592</v>
      </c>
      <c r="D653">
        <v>18.72</v>
      </c>
      <c r="E653">
        <v>17.98</v>
      </c>
      <c r="F653">
        <v>17.239999999999998</v>
      </c>
      <c r="G653">
        <v>17.239999999999998</v>
      </c>
      <c r="H653">
        <v>10.06</v>
      </c>
      <c r="I653">
        <v>8.42</v>
      </c>
      <c r="J653">
        <v>8.42</v>
      </c>
      <c r="K653">
        <v>2.61</v>
      </c>
      <c r="L653">
        <v>1.3</v>
      </c>
      <c r="M653" t="s">
        <v>572</v>
      </c>
      <c r="N653" t="s">
        <v>3</v>
      </c>
    </row>
    <row r="654" spans="3:14" x14ac:dyDescent="0.2">
      <c r="C654" t="s">
        <v>593</v>
      </c>
      <c r="D654" t="s">
        <v>572</v>
      </c>
      <c r="E654" t="s">
        <v>3</v>
      </c>
      <c r="F654" t="s">
        <v>3</v>
      </c>
      <c r="G654" t="s">
        <v>3</v>
      </c>
      <c r="H654" t="s">
        <v>3</v>
      </c>
      <c r="I654">
        <v>1.49</v>
      </c>
      <c r="J654">
        <v>3.09</v>
      </c>
      <c r="K654">
        <v>9.1300000000000008</v>
      </c>
      <c r="L654">
        <v>6.84</v>
      </c>
      <c r="M654">
        <v>4.7699999999999996</v>
      </c>
      <c r="N654">
        <v>2.56</v>
      </c>
    </row>
    <row r="655" spans="3:14" x14ac:dyDescent="0.2">
      <c r="C655" t="s">
        <v>594</v>
      </c>
      <c r="D655">
        <v>26.07</v>
      </c>
      <c r="E655">
        <v>13.75</v>
      </c>
      <c r="F655">
        <v>15.19</v>
      </c>
      <c r="G655">
        <v>16.989999999999998</v>
      </c>
      <c r="H655">
        <v>9.17</v>
      </c>
      <c r="I655">
        <v>7.65</v>
      </c>
      <c r="J655">
        <v>6.58</v>
      </c>
      <c r="K655">
        <v>2.82</v>
      </c>
      <c r="L655">
        <v>4.4000000000000004</v>
      </c>
      <c r="M655">
        <v>6.63</v>
      </c>
      <c r="N655">
        <v>9.27</v>
      </c>
    </row>
    <row r="656" spans="3:14" x14ac:dyDescent="0.2">
      <c r="C656" t="s">
        <v>612</v>
      </c>
      <c r="D656">
        <v>2.83</v>
      </c>
      <c r="E656">
        <v>2.2599999999999998</v>
      </c>
      <c r="F656">
        <v>2.2599999999999998</v>
      </c>
      <c r="G656">
        <v>2.2599999999999998</v>
      </c>
      <c r="H656">
        <v>2.2599999999999998</v>
      </c>
      <c r="I656">
        <v>2.2599999999999998</v>
      </c>
      <c r="J656">
        <v>2.2599999999999998</v>
      </c>
      <c r="K656">
        <v>2.2599999999999998</v>
      </c>
      <c r="L656">
        <v>0.66</v>
      </c>
      <c r="M656" t="s">
        <v>572</v>
      </c>
      <c r="N656" t="s">
        <v>3</v>
      </c>
    </row>
    <row r="657" spans="2:14" x14ac:dyDescent="0.2">
      <c r="C657" t="s">
        <v>596</v>
      </c>
      <c r="D657">
        <v>23.24</v>
      </c>
      <c r="E657">
        <v>11.49</v>
      </c>
      <c r="F657">
        <v>12.93</v>
      </c>
      <c r="G657">
        <v>14.73</v>
      </c>
      <c r="H657">
        <v>6.91</v>
      </c>
      <c r="I657">
        <v>5.39</v>
      </c>
      <c r="J657">
        <v>4.32</v>
      </c>
      <c r="K657">
        <v>0.56000000000000005</v>
      </c>
      <c r="L657">
        <v>3.74</v>
      </c>
      <c r="M657">
        <v>6.63</v>
      </c>
      <c r="N657">
        <v>9.27</v>
      </c>
    </row>
    <row r="658" spans="2:14" x14ac:dyDescent="0.2">
      <c r="C658" s="14" t="s">
        <v>597</v>
      </c>
      <c r="D658" s="32">
        <f>D652-D655</f>
        <v>-7.3500000000000014</v>
      </c>
      <c r="E658" s="32">
        <f t="shared" ref="E658:L658" si="59">E652-E655</f>
        <v>4.2300000000000004</v>
      </c>
      <c r="F658" s="32">
        <f t="shared" si="59"/>
        <v>2.0499999999999989</v>
      </c>
      <c r="G658" s="32">
        <f t="shared" si="59"/>
        <v>0.25</v>
      </c>
      <c r="H658" s="32">
        <f t="shared" si="59"/>
        <v>0.89000000000000057</v>
      </c>
      <c r="I658" s="32">
        <f t="shared" si="59"/>
        <v>2.2699999999999996</v>
      </c>
      <c r="J658" s="32">
        <f t="shared" si="59"/>
        <v>4.9399999999999995</v>
      </c>
      <c r="K658" s="32">
        <f t="shared" si="59"/>
        <v>8.92</v>
      </c>
      <c r="L658" s="32">
        <f t="shared" si="59"/>
        <v>3.74</v>
      </c>
      <c r="M658" s="32">
        <v>0</v>
      </c>
      <c r="N658" s="32">
        <v>0</v>
      </c>
    </row>
    <row r="659" spans="2:14" x14ac:dyDescent="0.2">
      <c r="C659" t="s">
        <v>598</v>
      </c>
      <c r="D659" s="20">
        <f>D651+D658</f>
        <v>56.140000000000008</v>
      </c>
      <c r="E659" s="20">
        <f t="shared" ref="E659:N659" si="60">E651+E658</f>
        <v>61.33</v>
      </c>
      <c r="F659" s="20">
        <f t="shared" si="60"/>
        <v>63.599999999999994</v>
      </c>
      <c r="G659" s="20">
        <f t="shared" si="60"/>
        <v>64.55</v>
      </c>
      <c r="H659" s="20">
        <f t="shared" si="60"/>
        <v>63.800000000000004</v>
      </c>
      <c r="I659" s="20">
        <f t="shared" si="60"/>
        <v>62.100000000000009</v>
      </c>
      <c r="J659" s="20">
        <f t="shared" si="60"/>
        <v>60.74</v>
      </c>
      <c r="K659" s="20">
        <f t="shared" si="60"/>
        <v>59.92</v>
      </c>
      <c r="L659" s="20">
        <f t="shared" si="60"/>
        <v>59.23</v>
      </c>
      <c r="M659" s="20">
        <f t="shared" si="60"/>
        <v>60.300000000000004</v>
      </c>
      <c r="N659" s="20">
        <f t="shared" si="60"/>
        <v>64.279999999999987</v>
      </c>
    </row>
    <row r="661" spans="2:14" x14ac:dyDescent="0.2">
      <c r="C661" t="s">
        <v>599</v>
      </c>
      <c r="D661">
        <v>61.18</v>
      </c>
      <c r="E661">
        <v>65.81</v>
      </c>
      <c r="F661">
        <v>68.41</v>
      </c>
      <c r="G661">
        <v>71.14</v>
      </c>
      <c r="H661">
        <v>73.61</v>
      </c>
      <c r="I661">
        <v>71.900000000000006</v>
      </c>
      <c r="J661">
        <v>70.52</v>
      </c>
      <c r="K661">
        <v>69.709999999999994</v>
      </c>
      <c r="L661">
        <v>67.42</v>
      </c>
      <c r="M661">
        <v>65.98</v>
      </c>
      <c r="N661">
        <v>65.099999999999994</v>
      </c>
    </row>
    <row r="667" spans="2:14" s="2" customFormat="1" ht="15" x14ac:dyDescent="0.25">
      <c r="C667" s="9" t="s">
        <v>649</v>
      </c>
      <c r="D667" s="2" t="s">
        <v>648</v>
      </c>
    </row>
    <row r="668" spans="2:14" s="2" customFormat="1" ht="15" x14ac:dyDescent="0.25">
      <c r="B668" s="2" t="s">
        <v>600</v>
      </c>
    </row>
    <row r="669" spans="2:14" s="2" customFormat="1" ht="15" x14ac:dyDescent="0.25">
      <c r="B669" s="13" t="s">
        <v>601</v>
      </c>
      <c r="D669" s="2">
        <v>2000</v>
      </c>
      <c r="E669" s="2">
        <v>2005</v>
      </c>
      <c r="F669" s="2">
        <v>2010</v>
      </c>
      <c r="G669" s="2">
        <v>2015</v>
      </c>
      <c r="H669" s="2">
        <v>2020</v>
      </c>
      <c r="I669" s="2">
        <v>2025</v>
      </c>
      <c r="J669" s="2">
        <v>2030</v>
      </c>
      <c r="K669" s="2">
        <v>2035</v>
      </c>
      <c r="L669" s="2">
        <v>2040</v>
      </c>
      <c r="M669" s="2">
        <v>2045</v>
      </c>
      <c r="N669" s="2">
        <v>2050</v>
      </c>
    </row>
    <row r="670" spans="2:14" x14ac:dyDescent="0.2">
      <c r="C670" t="s">
        <v>568</v>
      </c>
      <c r="D670">
        <v>17.71</v>
      </c>
      <c r="E670">
        <v>15.56</v>
      </c>
      <c r="F670">
        <v>14.16</v>
      </c>
      <c r="G670">
        <v>17.079999999999998</v>
      </c>
      <c r="H670">
        <v>18.98</v>
      </c>
      <c r="I670">
        <v>19.3</v>
      </c>
      <c r="J670">
        <v>19.59</v>
      </c>
      <c r="K670">
        <v>19.89</v>
      </c>
      <c r="L670">
        <v>20.22</v>
      </c>
      <c r="M670">
        <v>20.53</v>
      </c>
      <c r="N670">
        <v>20.86</v>
      </c>
    </row>
    <row r="671" spans="2:14" x14ac:dyDescent="0.2">
      <c r="C671" t="s">
        <v>633</v>
      </c>
      <c r="D671">
        <v>17.71</v>
      </c>
      <c r="E671">
        <v>15.56</v>
      </c>
      <c r="F671">
        <v>14.16</v>
      </c>
      <c r="G671">
        <v>15.95</v>
      </c>
      <c r="H671">
        <v>16.09</v>
      </c>
      <c r="I671">
        <v>16.239999999999998</v>
      </c>
      <c r="J671">
        <v>16.39</v>
      </c>
      <c r="K671">
        <v>16.47</v>
      </c>
      <c r="L671">
        <v>16.59</v>
      </c>
      <c r="M671">
        <v>16.53</v>
      </c>
      <c r="N671">
        <v>16.63</v>
      </c>
    </row>
    <row r="672" spans="2:14" x14ac:dyDescent="0.2">
      <c r="C672" t="s">
        <v>603</v>
      </c>
      <c r="D672" t="s">
        <v>3</v>
      </c>
      <c r="E672" t="s">
        <v>3</v>
      </c>
      <c r="F672" t="s">
        <v>3</v>
      </c>
      <c r="G672">
        <v>1.1299999999999999</v>
      </c>
      <c r="H672">
        <v>2.89</v>
      </c>
      <c r="I672">
        <v>3.05</v>
      </c>
      <c r="J672">
        <v>3.2</v>
      </c>
      <c r="K672">
        <v>3.42</v>
      </c>
      <c r="L672">
        <v>3.62</v>
      </c>
      <c r="M672">
        <v>4</v>
      </c>
      <c r="N672">
        <v>4.2300000000000004</v>
      </c>
    </row>
    <row r="673" spans="3:14" x14ac:dyDescent="0.2">
      <c r="C673" t="s">
        <v>571</v>
      </c>
      <c r="D673">
        <v>13.72</v>
      </c>
      <c r="E673">
        <v>13.94</v>
      </c>
      <c r="F673">
        <v>14.17</v>
      </c>
      <c r="G673">
        <v>13.5</v>
      </c>
      <c r="H673">
        <v>11.91</v>
      </c>
      <c r="I673">
        <v>8.7799999999999994</v>
      </c>
      <c r="J673">
        <v>4.84</v>
      </c>
      <c r="K673" t="s">
        <v>572</v>
      </c>
      <c r="L673" t="s">
        <v>3</v>
      </c>
      <c r="M673" t="s">
        <v>3</v>
      </c>
      <c r="N673" t="s">
        <v>3</v>
      </c>
    </row>
    <row r="674" spans="3:14" x14ac:dyDescent="0.2">
      <c r="C674" t="s">
        <v>604</v>
      </c>
      <c r="D674">
        <v>1.1100000000000001</v>
      </c>
      <c r="E674">
        <v>1.25</v>
      </c>
      <c r="F674">
        <v>1.3</v>
      </c>
      <c r="G674">
        <v>1.63</v>
      </c>
      <c r="H674">
        <v>1.9</v>
      </c>
      <c r="I674">
        <v>2.08</v>
      </c>
      <c r="J674">
        <v>2.2400000000000002</v>
      </c>
      <c r="K674">
        <v>2.2000000000000002</v>
      </c>
      <c r="L674">
        <v>2.13</v>
      </c>
      <c r="M674">
        <v>2.14</v>
      </c>
      <c r="N674">
        <v>2.14</v>
      </c>
    </row>
    <row r="675" spans="3:14" x14ac:dyDescent="0.2">
      <c r="C675" t="s">
        <v>605</v>
      </c>
      <c r="D675">
        <v>1.1100000000000001</v>
      </c>
      <c r="E675">
        <v>1.25</v>
      </c>
      <c r="F675">
        <v>1.3</v>
      </c>
      <c r="G675">
        <v>1.05</v>
      </c>
      <c r="H675">
        <v>0.86</v>
      </c>
      <c r="I675">
        <v>0.53</v>
      </c>
      <c r="J675">
        <v>0.34</v>
      </c>
      <c r="K675">
        <v>0.18</v>
      </c>
      <c r="L675" t="s">
        <v>572</v>
      </c>
      <c r="M675" t="s">
        <v>3</v>
      </c>
      <c r="N675" t="s">
        <v>3</v>
      </c>
    </row>
    <row r="676" spans="3:14" x14ac:dyDescent="0.2">
      <c r="C676" t="s">
        <v>606</v>
      </c>
      <c r="D676" t="s">
        <v>572</v>
      </c>
      <c r="E676" t="s">
        <v>572</v>
      </c>
      <c r="F676" t="s">
        <v>3</v>
      </c>
      <c r="G676" t="s">
        <v>3</v>
      </c>
      <c r="H676" t="s">
        <v>3</v>
      </c>
      <c r="I676" t="s">
        <v>3</v>
      </c>
      <c r="J676" t="s">
        <v>3</v>
      </c>
      <c r="K676" t="s">
        <v>3</v>
      </c>
      <c r="L676" t="s">
        <v>3</v>
      </c>
      <c r="M676" t="s">
        <v>3</v>
      </c>
      <c r="N676" t="s">
        <v>3</v>
      </c>
    </row>
    <row r="677" spans="3:14" x14ac:dyDescent="0.2">
      <c r="C677" t="s">
        <v>607</v>
      </c>
      <c r="D677" t="s">
        <v>572</v>
      </c>
      <c r="E677" t="s">
        <v>572</v>
      </c>
      <c r="F677" t="s">
        <v>3</v>
      </c>
      <c r="G677">
        <v>0.57999999999999996</v>
      </c>
      <c r="H677">
        <v>1.04</v>
      </c>
      <c r="I677">
        <v>1.55</v>
      </c>
      <c r="J677">
        <v>1.9</v>
      </c>
      <c r="K677">
        <v>2.0299999999999998</v>
      </c>
      <c r="L677">
        <v>2.13</v>
      </c>
      <c r="M677">
        <v>2.14</v>
      </c>
      <c r="N677">
        <v>2.14</v>
      </c>
    </row>
    <row r="678" spans="3:14" x14ac:dyDescent="0.2">
      <c r="C678" t="s">
        <v>608</v>
      </c>
      <c r="D678">
        <v>0.45</v>
      </c>
      <c r="E678">
        <v>0.55000000000000004</v>
      </c>
      <c r="F678">
        <v>0.76</v>
      </c>
      <c r="G678">
        <v>1.3</v>
      </c>
      <c r="H678">
        <v>2.02</v>
      </c>
      <c r="I678">
        <v>3.06</v>
      </c>
      <c r="J678">
        <v>4.28</v>
      </c>
      <c r="K678">
        <v>5.6</v>
      </c>
      <c r="L678">
        <v>7.27</v>
      </c>
      <c r="M678">
        <v>8.99</v>
      </c>
      <c r="N678">
        <v>10.47</v>
      </c>
    </row>
    <row r="679" spans="3:14" x14ac:dyDescent="0.2">
      <c r="C679" t="s">
        <v>609</v>
      </c>
      <c r="D679">
        <v>0.45</v>
      </c>
      <c r="E679">
        <v>0.55000000000000004</v>
      </c>
      <c r="F679">
        <v>0.76</v>
      </c>
      <c r="G679">
        <v>0.56000000000000005</v>
      </c>
      <c r="H679">
        <v>0.5</v>
      </c>
      <c r="I679">
        <v>0.38</v>
      </c>
      <c r="J679">
        <v>0.21</v>
      </c>
      <c r="K679">
        <v>0.05</v>
      </c>
      <c r="L679">
        <v>0</v>
      </c>
      <c r="M679" t="s">
        <v>3</v>
      </c>
      <c r="N679" t="s">
        <v>3</v>
      </c>
    </row>
    <row r="680" spans="3:14" x14ac:dyDescent="0.2">
      <c r="C680" t="s">
        <v>610</v>
      </c>
      <c r="D680" t="s">
        <v>572</v>
      </c>
      <c r="E680" t="s">
        <v>3</v>
      </c>
      <c r="F680" t="s">
        <v>3</v>
      </c>
      <c r="G680">
        <v>0.74</v>
      </c>
      <c r="H680">
        <v>1.52</v>
      </c>
      <c r="I680">
        <v>2.68</v>
      </c>
      <c r="J680">
        <v>4.07</v>
      </c>
      <c r="K680">
        <v>5.54</v>
      </c>
      <c r="L680">
        <v>7.26</v>
      </c>
      <c r="M680">
        <v>8.99</v>
      </c>
      <c r="N680">
        <v>10.47</v>
      </c>
    </row>
    <row r="681" spans="3:14" x14ac:dyDescent="0.2">
      <c r="C681" t="s">
        <v>580</v>
      </c>
      <c r="D681">
        <v>0</v>
      </c>
      <c r="E681">
        <v>0.01</v>
      </c>
      <c r="F681">
        <v>0.02</v>
      </c>
      <c r="G681">
        <v>0.08</v>
      </c>
      <c r="H681">
        <v>0.14000000000000001</v>
      </c>
      <c r="I681">
        <v>0.26</v>
      </c>
      <c r="J681">
        <v>0.52</v>
      </c>
      <c r="K681">
        <v>1.2</v>
      </c>
      <c r="L681">
        <v>1.82</v>
      </c>
      <c r="M681">
        <v>2.4900000000000002</v>
      </c>
      <c r="N681">
        <v>3</v>
      </c>
    </row>
    <row r="682" spans="3:14" x14ac:dyDescent="0.2">
      <c r="C682" t="s">
        <v>581</v>
      </c>
      <c r="D682">
        <v>0</v>
      </c>
      <c r="E682">
        <v>0.01</v>
      </c>
      <c r="F682">
        <v>0.02</v>
      </c>
      <c r="G682">
        <v>0.21</v>
      </c>
      <c r="H682">
        <v>0.4</v>
      </c>
      <c r="I682">
        <v>0.59</v>
      </c>
      <c r="J682">
        <v>0.88</v>
      </c>
      <c r="K682">
        <v>1.06</v>
      </c>
      <c r="L682">
        <v>1.56</v>
      </c>
      <c r="M682">
        <v>2.06</v>
      </c>
      <c r="N682">
        <v>2.56</v>
      </c>
    </row>
    <row r="683" spans="3:14" x14ac:dyDescent="0.2">
      <c r="C683" t="s">
        <v>582</v>
      </c>
      <c r="D683" t="s">
        <v>572</v>
      </c>
      <c r="E683" t="s">
        <v>572</v>
      </c>
      <c r="F683" t="s">
        <v>3</v>
      </c>
      <c r="G683" t="s">
        <v>3</v>
      </c>
      <c r="H683" t="s">
        <v>3</v>
      </c>
      <c r="I683" t="s">
        <v>3</v>
      </c>
      <c r="J683" t="s">
        <v>3</v>
      </c>
      <c r="K683" t="s">
        <v>3</v>
      </c>
      <c r="L683" t="s">
        <v>3</v>
      </c>
      <c r="M683" t="s">
        <v>3</v>
      </c>
      <c r="N683" t="s">
        <v>3</v>
      </c>
    </row>
    <row r="684" spans="3:14" x14ac:dyDescent="0.2">
      <c r="C684" t="s">
        <v>47</v>
      </c>
      <c r="D684" t="s">
        <v>572</v>
      </c>
      <c r="E684" t="s">
        <v>572</v>
      </c>
      <c r="F684" t="s">
        <v>3</v>
      </c>
      <c r="G684">
        <v>0.05</v>
      </c>
      <c r="H684">
        <v>0.1</v>
      </c>
      <c r="I684">
        <v>0.2</v>
      </c>
      <c r="J684">
        <v>0.39</v>
      </c>
      <c r="K684">
        <v>0.72</v>
      </c>
      <c r="L684">
        <v>1.2</v>
      </c>
      <c r="M684">
        <v>1.74</v>
      </c>
      <c r="N684">
        <v>2.19</v>
      </c>
    </row>
    <row r="685" spans="3:14" x14ac:dyDescent="0.2">
      <c r="C685" t="s">
        <v>583</v>
      </c>
      <c r="D685">
        <v>0.01</v>
      </c>
      <c r="E685">
        <v>0.02</v>
      </c>
      <c r="F685">
        <v>0.09</v>
      </c>
      <c r="G685">
        <v>0.23</v>
      </c>
      <c r="H685">
        <v>0.41</v>
      </c>
      <c r="I685">
        <v>0.66</v>
      </c>
      <c r="J685">
        <v>0.82</v>
      </c>
      <c r="K685">
        <v>0.82</v>
      </c>
      <c r="L685">
        <v>0.83</v>
      </c>
      <c r="M685">
        <v>0.83</v>
      </c>
      <c r="N685">
        <v>0.84</v>
      </c>
    </row>
    <row r="686" spans="3:14" x14ac:dyDescent="0.2">
      <c r="C686" t="s">
        <v>584</v>
      </c>
      <c r="D686">
        <v>0.01</v>
      </c>
      <c r="E686">
        <v>0.01</v>
      </c>
      <c r="F686">
        <v>0.05</v>
      </c>
      <c r="G686">
        <v>0.13</v>
      </c>
      <c r="H686">
        <v>0.28000000000000003</v>
      </c>
      <c r="I686">
        <v>0.54</v>
      </c>
      <c r="J686">
        <v>0.79</v>
      </c>
      <c r="K686">
        <v>0.91</v>
      </c>
      <c r="L686">
        <v>0.95</v>
      </c>
      <c r="M686">
        <v>0.97</v>
      </c>
      <c r="N686">
        <v>0.97</v>
      </c>
    </row>
    <row r="687" spans="3:14" x14ac:dyDescent="0.2">
      <c r="C687" t="s">
        <v>585</v>
      </c>
      <c r="D687">
        <v>0.05</v>
      </c>
      <c r="E687">
        <v>0.06</v>
      </c>
      <c r="F687">
        <v>7.0000000000000007E-2</v>
      </c>
      <c r="G687">
        <v>0.06</v>
      </c>
      <c r="H687">
        <v>0.09</v>
      </c>
      <c r="I687">
        <v>0.13</v>
      </c>
      <c r="J687">
        <v>0.16</v>
      </c>
      <c r="K687">
        <v>0.17</v>
      </c>
      <c r="L687">
        <v>0.17</v>
      </c>
      <c r="M687">
        <v>0.18</v>
      </c>
      <c r="N687">
        <v>0.18</v>
      </c>
    </row>
    <row r="688" spans="3:14" x14ac:dyDescent="0.2">
      <c r="C688" t="s">
        <v>586</v>
      </c>
      <c r="D688">
        <v>0.35</v>
      </c>
      <c r="E688">
        <v>0.44</v>
      </c>
      <c r="F688">
        <v>0.51</v>
      </c>
      <c r="G688">
        <v>0.54</v>
      </c>
      <c r="H688">
        <v>0.6</v>
      </c>
      <c r="I688">
        <v>0.68</v>
      </c>
      <c r="J688">
        <v>0.73</v>
      </c>
      <c r="K688">
        <v>0.73</v>
      </c>
      <c r="L688">
        <v>0.73</v>
      </c>
      <c r="M688">
        <v>0.73</v>
      </c>
      <c r="N688">
        <v>0.73</v>
      </c>
    </row>
    <row r="689" spans="3:14" x14ac:dyDescent="0.2">
      <c r="C689" t="s">
        <v>587</v>
      </c>
      <c r="D689">
        <v>0.02</v>
      </c>
      <c r="E689">
        <v>0.01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</row>
    <row r="690" spans="3:14" x14ac:dyDescent="0.2">
      <c r="C690" t="s">
        <v>588</v>
      </c>
      <c r="D690" s="20">
        <f t="shared" ref="D690:J690" si="61">D670+D673+D674+D678</f>
        <v>32.99</v>
      </c>
      <c r="E690" s="20">
        <f t="shared" si="61"/>
        <v>31.3</v>
      </c>
      <c r="F690" s="20">
        <f t="shared" si="61"/>
        <v>30.39</v>
      </c>
      <c r="G690" s="20">
        <f t="shared" si="61"/>
        <v>33.51</v>
      </c>
      <c r="H690" s="20">
        <f t="shared" si="61"/>
        <v>34.81</v>
      </c>
      <c r="I690" s="20">
        <f t="shared" si="61"/>
        <v>33.22</v>
      </c>
      <c r="J690" s="20">
        <f t="shared" si="61"/>
        <v>30.950000000000003</v>
      </c>
      <c r="K690" s="20">
        <f>K670+K674+K678</f>
        <v>27.689999999999998</v>
      </c>
      <c r="L690" s="20">
        <f>L670+L674+L678</f>
        <v>29.619999999999997</v>
      </c>
      <c r="M690" s="20">
        <f>M670+M674+M678</f>
        <v>31.660000000000004</v>
      </c>
      <c r="N690" s="20">
        <f>N670+N674+N678</f>
        <v>33.47</v>
      </c>
    </row>
    <row r="691" spans="3:14" x14ac:dyDescent="0.2">
      <c r="C691" t="s">
        <v>589</v>
      </c>
      <c r="D691">
        <v>-0.89</v>
      </c>
      <c r="E691">
        <v>-0.89</v>
      </c>
      <c r="F691">
        <v>-1.02</v>
      </c>
      <c r="G691">
        <v>-2.13</v>
      </c>
      <c r="H691">
        <v>-4.12</v>
      </c>
      <c r="I691">
        <v>-4.12</v>
      </c>
      <c r="J691">
        <v>-4.12</v>
      </c>
      <c r="K691">
        <v>-4.12</v>
      </c>
      <c r="L691">
        <v>-4.12</v>
      </c>
      <c r="M691">
        <v>-4.12</v>
      </c>
      <c r="N691">
        <v>-4.12</v>
      </c>
    </row>
    <row r="692" spans="3:14" x14ac:dyDescent="0.2">
      <c r="C692" s="14" t="s">
        <v>590</v>
      </c>
      <c r="D692" s="32">
        <f>D690+D691</f>
        <v>32.1</v>
      </c>
      <c r="E692" s="32">
        <f t="shared" ref="E692:N692" si="62">E690+E691</f>
        <v>30.41</v>
      </c>
      <c r="F692" s="32">
        <f t="shared" si="62"/>
        <v>29.37</v>
      </c>
      <c r="G692" s="32">
        <f t="shared" si="62"/>
        <v>31.38</v>
      </c>
      <c r="H692" s="32">
        <f t="shared" si="62"/>
        <v>30.69</v>
      </c>
      <c r="I692" s="32">
        <f t="shared" si="62"/>
        <v>29.099999999999998</v>
      </c>
      <c r="J692" s="32">
        <f t="shared" si="62"/>
        <v>26.830000000000002</v>
      </c>
      <c r="K692" s="32">
        <f t="shared" si="62"/>
        <v>23.569999999999997</v>
      </c>
      <c r="L692" s="32">
        <f t="shared" si="62"/>
        <v>25.499999999999996</v>
      </c>
      <c r="M692" s="32">
        <f t="shared" si="62"/>
        <v>27.540000000000003</v>
      </c>
      <c r="N692" s="32">
        <f t="shared" si="62"/>
        <v>29.349999999999998</v>
      </c>
    </row>
    <row r="693" spans="3:14" x14ac:dyDescent="0.2">
      <c r="C693" t="s">
        <v>591</v>
      </c>
      <c r="D693">
        <v>10.16</v>
      </c>
      <c r="E693">
        <v>9.76</v>
      </c>
      <c r="F693">
        <v>9.36</v>
      </c>
      <c r="G693">
        <v>9.36</v>
      </c>
      <c r="H693">
        <v>5.46</v>
      </c>
      <c r="I693">
        <v>6.07</v>
      </c>
      <c r="J693">
        <v>7.67</v>
      </c>
      <c r="K693">
        <v>10.54</v>
      </c>
      <c r="L693">
        <v>7.54</v>
      </c>
      <c r="M693">
        <v>4.7699999999999996</v>
      </c>
      <c r="N693">
        <v>2.56</v>
      </c>
    </row>
    <row r="694" spans="3:14" x14ac:dyDescent="0.2">
      <c r="C694" t="s">
        <v>592</v>
      </c>
      <c r="D694">
        <v>10.16</v>
      </c>
      <c r="E694">
        <v>9.76</v>
      </c>
      <c r="F694">
        <v>9.36</v>
      </c>
      <c r="G694">
        <v>9.36</v>
      </c>
      <c r="H694">
        <v>5.46</v>
      </c>
      <c r="I694">
        <v>4.57</v>
      </c>
      <c r="J694">
        <v>4.57</v>
      </c>
      <c r="K694">
        <v>1.42</v>
      </c>
      <c r="L694">
        <v>0.71</v>
      </c>
      <c r="M694" t="s">
        <v>572</v>
      </c>
      <c r="N694" t="s">
        <v>3</v>
      </c>
    </row>
    <row r="695" spans="3:14" x14ac:dyDescent="0.2">
      <c r="C695" t="s">
        <v>593</v>
      </c>
      <c r="D695" t="s">
        <v>572</v>
      </c>
      <c r="E695" t="s">
        <v>3</v>
      </c>
      <c r="F695" t="s">
        <v>3</v>
      </c>
      <c r="G695" t="s">
        <v>3</v>
      </c>
      <c r="H695" t="s">
        <v>3</v>
      </c>
      <c r="I695">
        <v>1.49</v>
      </c>
      <c r="J695">
        <v>3.09</v>
      </c>
      <c r="K695">
        <v>9.1300000000000008</v>
      </c>
      <c r="L695">
        <v>6.84</v>
      </c>
      <c r="M695">
        <v>4.7699999999999996</v>
      </c>
      <c r="N695">
        <v>2.56</v>
      </c>
    </row>
    <row r="696" spans="3:14" x14ac:dyDescent="0.2">
      <c r="C696" t="s">
        <v>594</v>
      </c>
      <c r="D696">
        <v>11.67</v>
      </c>
      <c r="E696">
        <v>6.85</v>
      </c>
      <c r="F696">
        <v>4.0999999999999996</v>
      </c>
      <c r="G696">
        <v>5.51</v>
      </c>
      <c r="H696">
        <v>1.26</v>
      </c>
      <c r="I696">
        <v>1.1299999999999999</v>
      </c>
      <c r="J696">
        <v>1.1299999999999999</v>
      </c>
      <c r="K696">
        <v>1.1299999999999999</v>
      </c>
      <c r="L696">
        <v>0.36</v>
      </c>
      <c r="M696">
        <v>0</v>
      </c>
      <c r="N696">
        <v>0</v>
      </c>
    </row>
    <row r="697" spans="3:14" x14ac:dyDescent="0.2">
      <c r="C697" t="s">
        <v>612</v>
      </c>
      <c r="D697">
        <v>1.47</v>
      </c>
      <c r="E697">
        <v>1.1299999999999999</v>
      </c>
      <c r="F697">
        <v>1.1299999999999999</v>
      </c>
      <c r="G697">
        <v>1.1299999999999999</v>
      </c>
      <c r="H697">
        <v>1.1299999999999999</v>
      </c>
      <c r="I697">
        <v>1.1299999999999999</v>
      </c>
      <c r="J697">
        <v>1.1299999999999999</v>
      </c>
      <c r="K697">
        <v>1.1299999999999999</v>
      </c>
      <c r="L697">
        <v>0.36</v>
      </c>
      <c r="M697" t="s">
        <v>572</v>
      </c>
      <c r="N697" t="s">
        <v>3</v>
      </c>
    </row>
    <row r="698" spans="3:14" x14ac:dyDescent="0.2">
      <c r="C698" t="s">
        <v>596</v>
      </c>
      <c r="D698">
        <v>10.199999999999999</v>
      </c>
      <c r="E698">
        <v>5.72</v>
      </c>
      <c r="F698">
        <v>2.97</v>
      </c>
      <c r="G698">
        <v>4.3899999999999997</v>
      </c>
      <c r="H698">
        <v>0.13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</row>
    <row r="699" spans="3:14" x14ac:dyDescent="0.2">
      <c r="C699" s="14" t="s">
        <v>597</v>
      </c>
      <c r="D699" s="32">
        <f>D693-D696</f>
        <v>-1.5099999999999998</v>
      </c>
      <c r="E699" s="32">
        <f t="shared" ref="E699:L699" si="63">E693-E696</f>
        <v>2.91</v>
      </c>
      <c r="F699" s="32">
        <f t="shared" si="63"/>
        <v>5.26</v>
      </c>
      <c r="G699" s="32">
        <f t="shared" si="63"/>
        <v>3.8499999999999996</v>
      </c>
      <c r="H699" s="32">
        <f t="shared" si="63"/>
        <v>4.2</v>
      </c>
      <c r="I699" s="32">
        <f t="shared" si="63"/>
        <v>4.9400000000000004</v>
      </c>
      <c r="J699" s="32">
        <f t="shared" si="63"/>
        <v>6.54</v>
      </c>
      <c r="K699" s="32">
        <f t="shared" si="63"/>
        <v>9.41</v>
      </c>
      <c r="L699" s="32">
        <f t="shared" si="63"/>
        <v>7.18</v>
      </c>
      <c r="M699" s="32">
        <v>0</v>
      </c>
      <c r="N699" s="32">
        <v>0</v>
      </c>
    </row>
    <row r="700" spans="3:14" x14ac:dyDescent="0.2">
      <c r="C700" t="s">
        <v>598</v>
      </c>
      <c r="D700" s="20">
        <f>D692+D699</f>
        <v>30.590000000000003</v>
      </c>
      <c r="E700" s="20">
        <f t="shared" ref="E700:N700" si="64">E692+E699</f>
        <v>33.32</v>
      </c>
      <c r="F700" s="20">
        <f t="shared" si="64"/>
        <v>34.630000000000003</v>
      </c>
      <c r="G700" s="20">
        <f t="shared" si="64"/>
        <v>35.229999999999997</v>
      </c>
      <c r="H700" s="20">
        <f t="shared" si="64"/>
        <v>34.89</v>
      </c>
      <c r="I700" s="20">
        <f t="shared" si="64"/>
        <v>34.04</v>
      </c>
      <c r="J700" s="20">
        <f t="shared" si="64"/>
        <v>33.370000000000005</v>
      </c>
      <c r="K700" s="20">
        <f t="shared" si="64"/>
        <v>32.979999999999997</v>
      </c>
      <c r="L700" s="20">
        <f t="shared" si="64"/>
        <v>32.679999999999993</v>
      </c>
      <c r="M700" s="20">
        <f t="shared" si="64"/>
        <v>27.540000000000003</v>
      </c>
      <c r="N700" s="20">
        <f t="shared" si="64"/>
        <v>29.349999999999998</v>
      </c>
    </row>
    <row r="702" spans="3:14" x14ac:dyDescent="0.2">
      <c r="C702" t="s">
        <v>599</v>
      </c>
      <c r="D702">
        <v>32.950000000000003</v>
      </c>
      <c r="E702">
        <v>35.33</v>
      </c>
      <c r="F702">
        <v>36.770000000000003</v>
      </c>
      <c r="G702">
        <v>38.479999999999997</v>
      </c>
      <c r="H702">
        <v>40.14</v>
      </c>
      <c r="I702">
        <v>39.28</v>
      </c>
      <c r="J702">
        <v>38.6</v>
      </c>
      <c r="K702">
        <v>38.229999999999997</v>
      </c>
      <c r="L702">
        <v>37.159999999999997</v>
      </c>
      <c r="M702">
        <v>36.44</v>
      </c>
      <c r="N702">
        <v>36.020000000000003</v>
      </c>
    </row>
    <row r="708" spans="2:14" s="2" customFormat="1" ht="15" x14ac:dyDescent="0.25">
      <c r="C708" s="9" t="s">
        <v>650</v>
      </c>
      <c r="D708" s="2" t="s">
        <v>648</v>
      </c>
    </row>
    <row r="709" spans="2:14" s="2" customFormat="1" ht="15" x14ac:dyDescent="0.25">
      <c r="B709" s="2" t="s">
        <v>614</v>
      </c>
    </row>
    <row r="710" spans="2:14" s="2" customFormat="1" ht="15" x14ac:dyDescent="0.25">
      <c r="B710" s="13" t="s">
        <v>615</v>
      </c>
      <c r="D710" s="2">
        <v>2000</v>
      </c>
      <c r="E710" s="2">
        <v>2005</v>
      </c>
      <c r="F710" s="2">
        <v>2010</v>
      </c>
      <c r="G710" s="2">
        <v>2015</v>
      </c>
      <c r="H710" s="2">
        <v>2020</v>
      </c>
      <c r="I710" s="2">
        <v>2025</v>
      </c>
      <c r="J710" s="2">
        <v>2030</v>
      </c>
      <c r="K710" s="2">
        <v>2035</v>
      </c>
      <c r="L710" s="2">
        <v>2040</v>
      </c>
      <c r="M710" s="2">
        <v>2045</v>
      </c>
      <c r="N710" s="2">
        <v>2050</v>
      </c>
    </row>
    <row r="711" spans="2:14" x14ac:dyDescent="0.2">
      <c r="C711" t="s">
        <v>568</v>
      </c>
      <c r="D711">
        <v>20.67</v>
      </c>
      <c r="E711">
        <v>18.78</v>
      </c>
      <c r="F711">
        <v>21.26</v>
      </c>
      <c r="G711">
        <v>21.92</v>
      </c>
      <c r="H711">
        <v>22.98</v>
      </c>
      <c r="I711">
        <v>23.05</v>
      </c>
      <c r="J711">
        <v>23.08</v>
      </c>
      <c r="K711">
        <v>23.13</v>
      </c>
      <c r="L711">
        <v>23.22</v>
      </c>
      <c r="M711">
        <v>23.28</v>
      </c>
      <c r="N711">
        <v>23.29</v>
      </c>
    </row>
    <row r="712" spans="2:14" x14ac:dyDescent="0.2">
      <c r="C712" t="s">
        <v>633</v>
      </c>
      <c r="D712">
        <v>20.67</v>
      </c>
      <c r="E712">
        <v>18.78</v>
      </c>
      <c r="F712">
        <v>21.26</v>
      </c>
      <c r="G712">
        <v>21</v>
      </c>
      <c r="H712">
        <v>20.78</v>
      </c>
      <c r="I712">
        <v>20.58</v>
      </c>
      <c r="J712">
        <v>20.37</v>
      </c>
      <c r="K712">
        <v>20.07</v>
      </c>
      <c r="L712">
        <v>19.82</v>
      </c>
      <c r="M712">
        <v>19.32</v>
      </c>
      <c r="N712">
        <v>18.95</v>
      </c>
    </row>
    <row r="713" spans="2:14" x14ac:dyDescent="0.2">
      <c r="C713" t="s">
        <v>603</v>
      </c>
      <c r="D713" t="s">
        <v>3</v>
      </c>
      <c r="E713" t="s">
        <v>3</v>
      </c>
      <c r="F713" t="s">
        <v>3</v>
      </c>
      <c r="G713">
        <v>0.91</v>
      </c>
      <c r="H713">
        <v>2.19</v>
      </c>
      <c r="I713">
        <v>2.4700000000000002</v>
      </c>
      <c r="J713">
        <v>2.71</v>
      </c>
      <c r="K713">
        <v>3.06</v>
      </c>
      <c r="L713">
        <v>3.4</v>
      </c>
      <c r="M713">
        <v>3.97</v>
      </c>
      <c r="N713">
        <v>4.34</v>
      </c>
    </row>
    <row r="714" spans="2:14" x14ac:dyDescent="0.2">
      <c r="C714" t="s">
        <v>571</v>
      </c>
      <c r="D714">
        <v>11.01</v>
      </c>
      <c r="E714">
        <v>7.97</v>
      </c>
      <c r="F714">
        <v>10.96</v>
      </c>
      <c r="G714">
        <v>11.08</v>
      </c>
      <c r="H714">
        <v>9.77</v>
      </c>
      <c r="I714">
        <v>7.21</v>
      </c>
      <c r="J714">
        <v>3.97</v>
      </c>
      <c r="K714" t="s">
        <v>572</v>
      </c>
      <c r="L714" t="s">
        <v>3</v>
      </c>
      <c r="M714" t="s">
        <v>3</v>
      </c>
      <c r="N714" t="s">
        <v>3</v>
      </c>
    </row>
    <row r="715" spans="2:14" x14ac:dyDescent="0.2">
      <c r="C715" t="s">
        <v>604</v>
      </c>
      <c r="D715">
        <v>0.67</v>
      </c>
      <c r="E715">
        <v>0.82</v>
      </c>
      <c r="F715">
        <v>0.88</v>
      </c>
      <c r="G715">
        <v>1.07</v>
      </c>
      <c r="H715">
        <v>1.23</v>
      </c>
      <c r="I715">
        <v>1.3</v>
      </c>
      <c r="J715">
        <v>1.38</v>
      </c>
      <c r="K715">
        <v>1.37</v>
      </c>
      <c r="L715">
        <v>1.31</v>
      </c>
      <c r="M715">
        <v>1.31</v>
      </c>
      <c r="N715">
        <v>1.31</v>
      </c>
    </row>
    <row r="716" spans="2:14" x14ac:dyDescent="0.2">
      <c r="C716" t="s">
        <v>605</v>
      </c>
      <c r="D716">
        <v>0.67</v>
      </c>
      <c r="E716">
        <v>0.82</v>
      </c>
      <c r="F716">
        <v>0.88</v>
      </c>
      <c r="G716">
        <v>0.71</v>
      </c>
      <c r="H716">
        <v>0.62</v>
      </c>
      <c r="I716">
        <v>0.38</v>
      </c>
      <c r="J716">
        <v>0.24</v>
      </c>
      <c r="K716">
        <v>0.14000000000000001</v>
      </c>
      <c r="L716" t="s">
        <v>572</v>
      </c>
      <c r="M716" t="s">
        <v>3</v>
      </c>
      <c r="N716" t="s">
        <v>3</v>
      </c>
    </row>
    <row r="717" spans="2:14" x14ac:dyDescent="0.2">
      <c r="C717" t="s">
        <v>606</v>
      </c>
      <c r="D717" t="s">
        <v>572</v>
      </c>
      <c r="E717" t="s">
        <v>572</v>
      </c>
      <c r="F717" t="s">
        <v>3</v>
      </c>
      <c r="G717" t="s">
        <v>3</v>
      </c>
      <c r="H717" t="s">
        <v>3</v>
      </c>
      <c r="I717" t="s">
        <v>3</v>
      </c>
      <c r="J717" t="s">
        <v>3</v>
      </c>
      <c r="K717" t="s">
        <v>3</v>
      </c>
      <c r="L717" t="s">
        <v>3</v>
      </c>
      <c r="M717" t="s">
        <v>3</v>
      </c>
      <c r="N717" t="s">
        <v>3</v>
      </c>
    </row>
    <row r="718" spans="2:14" x14ac:dyDescent="0.2">
      <c r="C718" t="s">
        <v>607</v>
      </c>
      <c r="D718" t="s">
        <v>3</v>
      </c>
      <c r="E718" t="s">
        <v>3</v>
      </c>
      <c r="F718" t="s">
        <v>3</v>
      </c>
      <c r="G718">
        <v>0.36</v>
      </c>
      <c r="H718">
        <v>0.61</v>
      </c>
      <c r="I718">
        <v>0.92</v>
      </c>
      <c r="J718">
        <v>1.1499999999999999</v>
      </c>
      <c r="K718">
        <v>1.23</v>
      </c>
      <c r="L718">
        <v>1.31</v>
      </c>
      <c r="M718">
        <v>1.31</v>
      </c>
      <c r="N718">
        <v>1.31</v>
      </c>
    </row>
    <row r="719" spans="2:14" x14ac:dyDescent="0.2">
      <c r="C719" t="s">
        <v>608</v>
      </c>
      <c r="D719">
        <v>0.36</v>
      </c>
      <c r="E719">
        <v>0.45</v>
      </c>
      <c r="F719">
        <v>0.62</v>
      </c>
      <c r="G719">
        <v>1.07</v>
      </c>
      <c r="H719">
        <v>1.66</v>
      </c>
      <c r="I719">
        <v>2.6</v>
      </c>
      <c r="J719">
        <v>3.96</v>
      </c>
      <c r="K719">
        <v>6.34</v>
      </c>
      <c r="L719">
        <v>8.8800000000000008</v>
      </c>
      <c r="M719">
        <v>11.58</v>
      </c>
      <c r="N719">
        <v>13.75</v>
      </c>
    </row>
    <row r="720" spans="2:14" x14ac:dyDescent="0.2">
      <c r="C720" t="s">
        <v>609</v>
      </c>
      <c r="D720">
        <v>0.36</v>
      </c>
      <c r="E720">
        <v>0.45</v>
      </c>
      <c r="F720">
        <v>0.62</v>
      </c>
      <c r="G720">
        <v>0.47</v>
      </c>
      <c r="H720">
        <v>0.42</v>
      </c>
      <c r="I720">
        <v>0.32</v>
      </c>
      <c r="J720">
        <v>0.19</v>
      </c>
      <c r="K720">
        <v>0.04</v>
      </c>
      <c r="L720">
        <v>0</v>
      </c>
      <c r="M720" t="s">
        <v>3</v>
      </c>
      <c r="N720" t="s">
        <v>3</v>
      </c>
    </row>
    <row r="721" spans="3:14" x14ac:dyDescent="0.2">
      <c r="C721" t="s">
        <v>610</v>
      </c>
      <c r="D721" t="s">
        <v>572</v>
      </c>
      <c r="E721" t="s">
        <v>3</v>
      </c>
      <c r="F721" t="s">
        <v>3</v>
      </c>
      <c r="G721">
        <v>0.6</v>
      </c>
      <c r="H721">
        <v>1.25</v>
      </c>
      <c r="I721">
        <v>2.2799999999999998</v>
      </c>
      <c r="J721">
        <v>3.77</v>
      </c>
      <c r="K721">
        <v>6.3</v>
      </c>
      <c r="L721">
        <v>8.8800000000000008</v>
      </c>
      <c r="M721">
        <v>11.58</v>
      </c>
      <c r="N721">
        <v>13.75</v>
      </c>
    </row>
    <row r="722" spans="3:14" x14ac:dyDescent="0.2">
      <c r="C722" t="s">
        <v>580</v>
      </c>
      <c r="D722">
        <v>0.01</v>
      </c>
      <c r="E722">
        <v>0.01</v>
      </c>
      <c r="F722">
        <v>0.06</v>
      </c>
      <c r="G722">
        <v>0.21</v>
      </c>
      <c r="H722">
        <v>0.38</v>
      </c>
      <c r="I722">
        <v>0.71</v>
      </c>
      <c r="J722">
        <v>1.39</v>
      </c>
      <c r="K722">
        <v>3.24</v>
      </c>
      <c r="L722">
        <v>4.92</v>
      </c>
      <c r="M722">
        <v>6.74</v>
      </c>
      <c r="N722">
        <v>8.1199999999999992</v>
      </c>
    </row>
    <row r="723" spans="3:14" x14ac:dyDescent="0.2">
      <c r="C723" t="s">
        <v>581</v>
      </c>
      <c r="D723">
        <v>0</v>
      </c>
      <c r="E723">
        <v>0</v>
      </c>
      <c r="F723">
        <v>0.01</v>
      </c>
      <c r="G723">
        <v>0.14000000000000001</v>
      </c>
      <c r="H723">
        <v>0.26</v>
      </c>
      <c r="I723">
        <v>0.39</v>
      </c>
      <c r="J723">
        <v>0.57999999999999996</v>
      </c>
      <c r="K723">
        <v>0.7</v>
      </c>
      <c r="L723">
        <v>1.04</v>
      </c>
      <c r="M723">
        <v>1.37</v>
      </c>
      <c r="N723">
        <v>1.7</v>
      </c>
    </row>
    <row r="724" spans="3:14" x14ac:dyDescent="0.2">
      <c r="C724" t="s">
        <v>582</v>
      </c>
      <c r="D724" t="s">
        <v>572</v>
      </c>
      <c r="E724" t="s">
        <v>572</v>
      </c>
      <c r="F724" t="s">
        <v>3</v>
      </c>
      <c r="G724" t="s">
        <v>3</v>
      </c>
      <c r="H724" t="s">
        <v>3</v>
      </c>
      <c r="I724" t="s">
        <v>3</v>
      </c>
      <c r="J724" t="s">
        <v>3</v>
      </c>
      <c r="K724" t="s">
        <v>3</v>
      </c>
      <c r="L724" t="s">
        <v>3</v>
      </c>
      <c r="M724" t="s">
        <v>3</v>
      </c>
      <c r="N724" t="s">
        <v>3</v>
      </c>
    </row>
    <row r="725" spans="3:14" x14ac:dyDescent="0.2">
      <c r="C725" t="s">
        <v>47</v>
      </c>
      <c r="D725" t="s">
        <v>572</v>
      </c>
      <c r="E725" t="s">
        <v>572</v>
      </c>
      <c r="F725" t="s">
        <v>3</v>
      </c>
      <c r="G725">
        <v>0.05</v>
      </c>
      <c r="H725">
        <v>0.1</v>
      </c>
      <c r="I725">
        <v>0.2</v>
      </c>
      <c r="J725">
        <v>0.39</v>
      </c>
      <c r="K725">
        <v>0.72</v>
      </c>
      <c r="L725">
        <v>1.2</v>
      </c>
      <c r="M725">
        <v>1.74</v>
      </c>
      <c r="N725">
        <v>2.19</v>
      </c>
    </row>
    <row r="726" spans="3:14" x14ac:dyDescent="0.2">
      <c r="C726" t="s">
        <v>583</v>
      </c>
      <c r="D726">
        <v>0.01</v>
      </c>
      <c r="E726">
        <v>0.01</v>
      </c>
      <c r="F726">
        <v>0.04</v>
      </c>
      <c r="G726">
        <v>0.1</v>
      </c>
      <c r="H726">
        <v>0.19</v>
      </c>
      <c r="I726">
        <v>0.31</v>
      </c>
      <c r="J726">
        <v>0.39</v>
      </c>
      <c r="K726">
        <v>0.4</v>
      </c>
      <c r="L726">
        <v>0.4</v>
      </c>
      <c r="M726">
        <v>0.4</v>
      </c>
      <c r="N726">
        <v>0.41</v>
      </c>
    </row>
    <row r="727" spans="3:14" x14ac:dyDescent="0.2">
      <c r="C727" t="s">
        <v>584</v>
      </c>
      <c r="D727">
        <v>0</v>
      </c>
      <c r="E727">
        <v>0.01</v>
      </c>
      <c r="F727">
        <v>0.03</v>
      </c>
      <c r="G727">
        <v>0.08</v>
      </c>
      <c r="H727">
        <v>0.18</v>
      </c>
      <c r="I727">
        <v>0.34</v>
      </c>
      <c r="J727">
        <v>0.5</v>
      </c>
      <c r="K727">
        <v>0.56999999999999995</v>
      </c>
      <c r="L727">
        <v>0.6</v>
      </c>
      <c r="M727">
        <v>0.61</v>
      </c>
      <c r="N727">
        <v>0.61</v>
      </c>
    </row>
    <row r="728" spans="3:14" x14ac:dyDescent="0.2">
      <c r="C728" t="s">
        <v>585</v>
      </c>
      <c r="D728">
        <v>0.04</v>
      </c>
      <c r="E728">
        <v>0.04</v>
      </c>
      <c r="F728">
        <v>0.05</v>
      </c>
      <c r="G728">
        <v>0.04</v>
      </c>
      <c r="H728">
        <v>7.0000000000000007E-2</v>
      </c>
      <c r="I728">
        <v>0.09</v>
      </c>
      <c r="J728">
        <v>0.11</v>
      </c>
      <c r="K728">
        <v>0.12</v>
      </c>
      <c r="L728">
        <v>0.12</v>
      </c>
      <c r="M728">
        <v>0.12</v>
      </c>
      <c r="N728">
        <v>0.12</v>
      </c>
    </row>
    <row r="729" spans="3:14" x14ac:dyDescent="0.2">
      <c r="C729" t="s">
        <v>586</v>
      </c>
      <c r="D729">
        <v>0.28999999999999998</v>
      </c>
      <c r="E729">
        <v>0.36</v>
      </c>
      <c r="F729">
        <v>0.41</v>
      </c>
      <c r="G729">
        <v>0.45</v>
      </c>
      <c r="H729">
        <v>0.49</v>
      </c>
      <c r="I729">
        <v>0.56000000000000005</v>
      </c>
      <c r="J729">
        <v>0.59</v>
      </c>
      <c r="K729">
        <v>0.6</v>
      </c>
      <c r="L729">
        <v>0.6</v>
      </c>
      <c r="M729">
        <v>0.6</v>
      </c>
      <c r="N729">
        <v>0.6</v>
      </c>
    </row>
    <row r="730" spans="3:14" x14ac:dyDescent="0.2">
      <c r="C730" t="s">
        <v>587</v>
      </c>
      <c r="D730">
        <v>0.02</v>
      </c>
      <c r="E730">
        <v>0.01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</row>
    <row r="731" spans="3:14" x14ac:dyDescent="0.2">
      <c r="C731" t="s">
        <v>588</v>
      </c>
      <c r="D731" s="20">
        <f t="shared" ref="D731:J731" si="65">D711+D714+D715+D719</f>
        <v>32.71</v>
      </c>
      <c r="E731" s="20">
        <f t="shared" si="65"/>
        <v>28.02</v>
      </c>
      <c r="F731" s="20">
        <f t="shared" si="65"/>
        <v>33.72</v>
      </c>
      <c r="G731" s="20">
        <f t="shared" si="65"/>
        <v>35.14</v>
      </c>
      <c r="H731" s="20">
        <f t="shared" si="65"/>
        <v>35.639999999999993</v>
      </c>
      <c r="I731" s="20">
        <f t="shared" si="65"/>
        <v>34.160000000000004</v>
      </c>
      <c r="J731" s="20">
        <f t="shared" si="65"/>
        <v>32.389999999999993</v>
      </c>
      <c r="K731" s="20">
        <f>K711+K715+K719</f>
        <v>30.84</v>
      </c>
      <c r="L731" s="20">
        <f>L711+L715+L719</f>
        <v>33.409999999999997</v>
      </c>
      <c r="M731" s="20">
        <f>M711+M715+M719</f>
        <v>36.17</v>
      </c>
      <c r="N731" s="20">
        <f>N711+N715+N719</f>
        <v>38.349999999999994</v>
      </c>
    </row>
    <row r="732" spans="3:14" x14ac:dyDescent="0.2">
      <c r="C732" t="s">
        <v>589</v>
      </c>
      <c r="D732">
        <v>-1.33</v>
      </c>
      <c r="E732">
        <v>-1.33</v>
      </c>
      <c r="F732">
        <v>-1.53</v>
      </c>
      <c r="G732">
        <v>-2.21</v>
      </c>
      <c r="H732">
        <v>-3.42</v>
      </c>
      <c r="I732">
        <v>-3.42</v>
      </c>
      <c r="J732">
        <v>-3.42</v>
      </c>
      <c r="K732">
        <v>-3.42</v>
      </c>
      <c r="L732">
        <v>-3.42</v>
      </c>
      <c r="M732">
        <v>-3.42</v>
      </c>
      <c r="N732">
        <v>-3.42</v>
      </c>
    </row>
    <row r="733" spans="3:14" x14ac:dyDescent="0.2">
      <c r="C733" s="14" t="s">
        <v>590</v>
      </c>
      <c r="D733" s="32">
        <f>D731+D732</f>
        <v>31.380000000000003</v>
      </c>
      <c r="E733" s="32">
        <f t="shared" ref="E733:N733" si="66">E731+E732</f>
        <v>26.689999999999998</v>
      </c>
      <c r="F733" s="32">
        <f t="shared" si="66"/>
        <v>32.19</v>
      </c>
      <c r="G733" s="32">
        <f t="shared" si="66"/>
        <v>32.93</v>
      </c>
      <c r="H733" s="32">
        <f t="shared" si="66"/>
        <v>32.219999999999992</v>
      </c>
      <c r="I733" s="32">
        <f t="shared" si="66"/>
        <v>30.740000000000002</v>
      </c>
      <c r="J733" s="32">
        <f t="shared" si="66"/>
        <v>28.969999999999992</v>
      </c>
      <c r="K733" s="32">
        <f t="shared" si="66"/>
        <v>27.42</v>
      </c>
      <c r="L733" s="32">
        <f t="shared" si="66"/>
        <v>29.989999999999995</v>
      </c>
      <c r="M733" s="32">
        <f t="shared" si="66"/>
        <v>32.75</v>
      </c>
      <c r="N733" s="32">
        <f t="shared" si="66"/>
        <v>34.929999999999993</v>
      </c>
    </row>
    <row r="734" spans="3:14" x14ac:dyDescent="0.2">
      <c r="C734" t="s">
        <v>591</v>
      </c>
      <c r="D734">
        <v>8.56</v>
      </c>
      <c r="E734">
        <v>8.2200000000000006</v>
      </c>
      <c r="F734">
        <v>7.88</v>
      </c>
      <c r="G734">
        <v>7.88</v>
      </c>
      <c r="H734">
        <v>4.5999999999999996</v>
      </c>
      <c r="I734">
        <v>3.85</v>
      </c>
      <c r="J734">
        <v>3.85</v>
      </c>
      <c r="K734">
        <v>1.19</v>
      </c>
      <c r="L734">
        <v>0.6</v>
      </c>
      <c r="M734" t="s">
        <v>3</v>
      </c>
      <c r="N734" t="s">
        <v>3</v>
      </c>
    </row>
    <row r="735" spans="3:14" x14ac:dyDescent="0.2">
      <c r="C735" t="s">
        <v>592</v>
      </c>
      <c r="D735">
        <v>8.56</v>
      </c>
      <c r="E735">
        <v>8.2200000000000006</v>
      </c>
      <c r="F735">
        <v>7.88</v>
      </c>
      <c r="G735">
        <v>7.88</v>
      </c>
      <c r="H735">
        <v>4.5999999999999996</v>
      </c>
      <c r="I735">
        <v>3.85</v>
      </c>
      <c r="J735">
        <v>3.85</v>
      </c>
      <c r="K735">
        <v>1.19</v>
      </c>
      <c r="L735">
        <v>0.6</v>
      </c>
      <c r="M735" t="s">
        <v>572</v>
      </c>
      <c r="N735" t="s">
        <v>3</v>
      </c>
    </row>
    <row r="736" spans="3:14" x14ac:dyDescent="0.2">
      <c r="C736" t="s">
        <v>593</v>
      </c>
      <c r="D736" t="s">
        <v>572</v>
      </c>
      <c r="E736" t="s">
        <v>3</v>
      </c>
      <c r="F736" t="s">
        <v>3</v>
      </c>
      <c r="G736" t="s">
        <v>3</v>
      </c>
      <c r="H736" t="s">
        <v>3</v>
      </c>
      <c r="I736" t="s">
        <v>3</v>
      </c>
      <c r="J736" t="s">
        <v>3</v>
      </c>
      <c r="K736" t="s">
        <v>572</v>
      </c>
      <c r="L736" t="s">
        <v>3</v>
      </c>
      <c r="M736" t="s">
        <v>3</v>
      </c>
      <c r="N736" t="s">
        <v>3</v>
      </c>
    </row>
    <row r="737" spans="3:14" x14ac:dyDescent="0.2">
      <c r="C737" t="s">
        <v>594</v>
      </c>
      <c r="D737">
        <v>14.39</v>
      </c>
      <c r="E737">
        <v>6.9</v>
      </c>
      <c r="F737">
        <v>11.09</v>
      </c>
      <c r="G737">
        <v>11.48</v>
      </c>
      <c r="H737">
        <v>7.91</v>
      </c>
      <c r="I737">
        <v>6.52</v>
      </c>
      <c r="J737">
        <v>5.46</v>
      </c>
      <c r="K737">
        <v>1.69</v>
      </c>
      <c r="L737">
        <v>4.04</v>
      </c>
      <c r="M737">
        <v>6.63</v>
      </c>
      <c r="N737">
        <v>9.27</v>
      </c>
    </row>
    <row r="738" spans="3:14" x14ac:dyDescent="0.2">
      <c r="C738" t="s">
        <v>612</v>
      </c>
      <c r="D738">
        <v>1.35</v>
      </c>
      <c r="E738">
        <v>1.1399999999999999</v>
      </c>
      <c r="F738">
        <v>1.1399999999999999</v>
      </c>
      <c r="G738">
        <v>1.1399999999999999</v>
      </c>
      <c r="H738">
        <v>1.1399999999999999</v>
      </c>
      <c r="I738">
        <v>1.1399999999999999</v>
      </c>
      <c r="J738">
        <v>1.1399999999999999</v>
      </c>
      <c r="K738">
        <v>1.1399999999999999</v>
      </c>
      <c r="L738">
        <v>0.3</v>
      </c>
      <c r="M738" t="s">
        <v>572</v>
      </c>
      <c r="N738" t="s">
        <v>3</v>
      </c>
    </row>
    <row r="739" spans="3:14" x14ac:dyDescent="0.2">
      <c r="C739" t="s">
        <v>596</v>
      </c>
      <c r="D739">
        <v>13.04</v>
      </c>
      <c r="E739">
        <v>5.76</v>
      </c>
      <c r="F739">
        <v>9.9600000000000009</v>
      </c>
      <c r="G739">
        <v>10.35</v>
      </c>
      <c r="H739">
        <v>6.78</v>
      </c>
      <c r="I739">
        <v>5.39</v>
      </c>
      <c r="J739">
        <v>4.32</v>
      </c>
      <c r="K739">
        <v>0.56000000000000005</v>
      </c>
      <c r="L739">
        <v>3.74</v>
      </c>
      <c r="M739">
        <v>6.63</v>
      </c>
      <c r="N739">
        <v>9.27</v>
      </c>
    </row>
    <row r="740" spans="3:14" x14ac:dyDescent="0.2">
      <c r="C740" s="14" t="s">
        <v>597</v>
      </c>
      <c r="D740" s="32">
        <f>D734-D737</f>
        <v>-5.83</v>
      </c>
      <c r="E740" s="32">
        <f t="shared" ref="E740:L740" si="67">E734-E737</f>
        <v>1.3200000000000003</v>
      </c>
      <c r="F740" s="32">
        <f t="shared" si="67"/>
        <v>-3.21</v>
      </c>
      <c r="G740" s="32">
        <f t="shared" si="67"/>
        <v>-3.6000000000000005</v>
      </c>
      <c r="H740" s="32">
        <f t="shared" si="67"/>
        <v>-3.3100000000000005</v>
      </c>
      <c r="I740" s="32">
        <f t="shared" si="67"/>
        <v>-2.6699999999999995</v>
      </c>
      <c r="J740" s="32">
        <f t="shared" si="67"/>
        <v>-1.6099999999999999</v>
      </c>
      <c r="K740" s="32">
        <f t="shared" si="67"/>
        <v>-0.5</v>
      </c>
      <c r="L740" s="32">
        <f t="shared" si="67"/>
        <v>-3.44</v>
      </c>
      <c r="M740" s="32">
        <v>0</v>
      </c>
      <c r="N740" s="32">
        <v>0</v>
      </c>
    </row>
    <row r="741" spans="3:14" x14ac:dyDescent="0.2">
      <c r="C741" t="s">
        <v>598</v>
      </c>
      <c r="D741" s="20">
        <f>D733+D740</f>
        <v>25.550000000000004</v>
      </c>
      <c r="E741" s="20">
        <f t="shared" ref="E741:N741" si="68">E733+E740</f>
        <v>28.009999999999998</v>
      </c>
      <c r="F741" s="20">
        <f t="shared" si="68"/>
        <v>28.979999999999997</v>
      </c>
      <c r="G741" s="20">
        <f t="shared" si="68"/>
        <v>29.33</v>
      </c>
      <c r="H741" s="20">
        <f t="shared" si="68"/>
        <v>28.909999999999989</v>
      </c>
      <c r="I741" s="20">
        <f t="shared" si="68"/>
        <v>28.070000000000004</v>
      </c>
      <c r="J741" s="20">
        <f t="shared" si="68"/>
        <v>27.359999999999992</v>
      </c>
      <c r="K741" s="20">
        <f t="shared" si="68"/>
        <v>26.92</v>
      </c>
      <c r="L741" s="20">
        <f t="shared" si="68"/>
        <v>26.549999999999994</v>
      </c>
      <c r="M741" s="20">
        <f t="shared" si="68"/>
        <v>32.75</v>
      </c>
      <c r="N741" s="20">
        <f t="shared" si="68"/>
        <v>34.929999999999993</v>
      </c>
    </row>
    <row r="743" spans="3:14" x14ac:dyDescent="0.2">
      <c r="C743" t="s">
        <v>599</v>
      </c>
      <c r="D743">
        <v>28.23</v>
      </c>
      <c r="E743">
        <v>30.48</v>
      </c>
      <c r="F743">
        <v>31.64</v>
      </c>
      <c r="G743">
        <v>32.67</v>
      </c>
      <c r="H743">
        <v>33.47</v>
      </c>
      <c r="I743">
        <v>32.619999999999997</v>
      </c>
      <c r="J743">
        <v>31.92</v>
      </c>
      <c r="K743">
        <v>31.48</v>
      </c>
      <c r="L743">
        <v>30.26</v>
      </c>
      <c r="M743">
        <v>29.54</v>
      </c>
      <c r="N743">
        <v>29.08</v>
      </c>
    </row>
    <row r="749" spans="3:14" s="2" customFormat="1" ht="15" x14ac:dyDescent="0.25">
      <c r="C749" s="2" t="s">
        <v>616</v>
      </c>
    </row>
    <row r="750" spans="3:14" s="2" customFormat="1" ht="15" x14ac:dyDescent="0.25"/>
    <row r="751" spans="3:14" s="2" customFormat="1" ht="15" x14ac:dyDescent="0.25">
      <c r="C751" s="9" t="s">
        <v>651</v>
      </c>
      <c r="D751" s="2" t="s">
        <v>648</v>
      </c>
    </row>
    <row r="752" spans="3:14" s="2" customFormat="1" ht="15" x14ac:dyDescent="0.25">
      <c r="C752" s="2" t="s">
        <v>618</v>
      </c>
    </row>
    <row r="753" spans="3:14" s="2" customFormat="1" ht="15" x14ac:dyDescent="0.25">
      <c r="D753" s="2">
        <v>2000</v>
      </c>
      <c r="E753" s="2">
        <v>2005</v>
      </c>
      <c r="F753" s="2">
        <v>2010</v>
      </c>
      <c r="G753" s="2">
        <v>2015</v>
      </c>
      <c r="H753" s="2">
        <v>2020</v>
      </c>
      <c r="I753" s="2">
        <v>2025</v>
      </c>
      <c r="J753" s="2">
        <v>2030</v>
      </c>
      <c r="K753" s="2">
        <v>2035</v>
      </c>
      <c r="L753" s="2">
        <v>2040</v>
      </c>
      <c r="M753" s="2">
        <v>2045</v>
      </c>
      <c r="N753" s="2">
        <v>2050</v>
      </c>
    </row>
    <row r="754" spans="3:14" x14ac:dyDescent="0.2">
      <c r="C754" t="s">
        <v>619</v>
      </c>
      <c r="D754">
        <v>2.9</v>
      </c>
      <c r="E754">
        <v>2.2000000000000002</v>
      </c>
      <c r="F754">
        <v>2.2000000000000002</v>
      </c>
      <c r="G754">
        <v>2.7</v>
      </c>
      <c r="H754">
        <v>2.7</v>
      </c>
      <c r="I754">
        <v>2.9</v>
      </c>
      <c r="J754">
        <v>3</v>
      </c>
      <c r="K754">
        <v>2.4</v>
      </c>
      <c r="L754">
        <v>2.4</v>
      </c>
      <c r="M754">
        <v>2.4</v>
      </c>
      <c r="N754">
        <v>2.4</v>
      </c>
    </row>
    <row r="755" spans="3:14" x14ac:dyDescent="0.2">
      <c r="C755" t="s">
        <v>332</v>
      </c>
      <c r="D755">
        <v>10.9</v>
      </c>
      <c r="E755">
        <v>11.7</v>
      </c>
      <c r="F755">
        <v>11.6</v>
      </c>
      <c r="G755">
        <v>15.9</v>
      </c>
      <c r="H755">
        <v>18.7</v>
      </c>
      <c r="I755">
        <v>19.7</v>
      </c>
      <c r="J755">
        <v>21.1</v>
      </c>
      <c r="K755">
        <v>20.399999999999999</v>
      </c>
      <c r="L755">
        <v>19.100000000000001</v>
      </c>
      <c r="M755">
        <v>19</v>
      </c>
      <c r="N755">
        <v>18.899999999999999</v>
      </c>
    </row>
    <row r="756" spans="3:14" x14ac:dyDescent="0.2">
      <c r="C756" t="s">
        <v>101</v>
      </c>
      <c r="D756">
        <v>2.2000000000000002</v>
      </c>
      <c r="E756">
        <v>2.7</v>
      </c>
      <c r="F756">
        <v>5.9</v>
      </c>
      <c r="G756">
        <v>11.2</v>
      </c>
      <c r="H756">
        <v>19.600000000000001</v>
      </c>
      <c r="I756">
        <v>31.7</v>
      </c>
      <c r="J756">
        <v>40.4</v>
      </c>
      <c r="K756">
        <v>41.5</v>
      </c>
      <c r="L756">
        <v>41.3</v>
      </c>
      <c r="M756">
        <v>40</v>
      </c>
      <c r="N756">
        <v>38.4</v>
      </c>
    </row>
    <row r="757" spans="3:14" x14ac:dyDescent="0.2">
      <c r="C757" t="s">
        <v>620</v>
      </c>
      <c r="D757">
        <v>42.3</v>
      </c>
      <c r="E757">
        <v>51.8</v>
      </c>
      <c r="F757">
        <v>56.6</v>
      </c>
      <c r="G757">
        <v>48.9</v>
      </c>
      <c r="H757">
        <v>52.7</v>
      </c>
      <c r="I757">
        <v>55.3</v>
      </c>
      <c r="J757">
        <v>57.1</v>
      </c>
      <c r="K757">
        <v>56.4</v>
      </c>
      <c r="L757">
        <v>56</v>
      </c>
      <c r="M757">
        <v>53.8</v>
      </c>
      <c r="N757">
        <v>53.1</v>
      </c>
    </row>
    <row r="758" spans="3:14" x14ac:dyDescent="0.2">
      <c r="C758" t="s">
        <v>621</v>
      </c>
      <c r="D758">
        <v>261.89999999999998</v>
      </c>
      <c r="E758">
        <v>233</v>
      </c>
      <c r="F758">
        <v>266.10000000000002</v>
      </c>
      <c r="G758">
        <v>260.10000000000002</v>
      </c>
      <c r="H758">
        <v>228.6</v>
      </c>
      <c r="I758">
        <v>166.6</v>
      </c>
      <c r="J758">
        <v>90.6</v>
      </c>
      <c r="K758">
        <v>0</v>
      </c>
      <c r="L758">
        <v>0</v>
      </c>
      <c r="M758">
        <v>0</v>
      </c>
      <c r="N758">
        <v>0</v>
      </c>
    </row>
    <row r="759" spans="3:14" x14ac:dyDescent="0.2">
      <c r="C759" t="s">
        <v>132</v>
      </c>
      <c r="D759">
        <v>138.19999999999999</v>
      </c>
      <c r="E759">
        <v>123.6</v>
      </c>
      <c r="F759">
        <v>127.5</v>
      </c>
      <c r="G759">
        <v>140.4</v>
      </c>
      <c r="H759">
        <v>151.1</v>
      </c>
      <c r="I759">
        <v>152.5</v>
      </c>
      <c r="J759">
        <v>153.6</v>
      </c>
      <c r="K759">
        <v>154.9</v>
      </c>
      <c r="L759">
        <v>156.4</v>
      </c>
      <c r="M759">
        <v>157.69999999999999</v>
      </c>
      <c r="N759">
        <v>158.9</v>
      </c>
    </row>
    <row r="760" spans="3:14" x14ac:dyDescent="0.2">
      <c r="C760" t="s">
        <v>622</v>
      </c>
      <c r="D760">
        <v>0</v>
      </c>
      <c r="E760">
        <v>0</v>
      </c>
      <c r="F760">
        <v>0.1</v>
      </c>
      <c r="G760">
        <v>1.3</v>
      </c>
      <c r="H760">
        <v>2.4</v>
      </c>
      <c r="I760">
        <v>3.6</v>
      </c>
      <c r="J760">
        <v>5.3</v>
      </c>
      <c r="K760">
        <v>6.3</v>
      </c>
      <c r="L760">
        <v>9.3000000000000007</v>
      </c>
      <c r="M760">
        <v>12.3</v>
      </c>
      <c r="N760">
        <v>15.3</v>
      </c>
    </row>
    <row r="761" spans="3:14" x14ac:dyDescent="0.2">
      <c r="C761" t="s">
        <v>623</v>
      </c>
      <c r="D761">
        <v>0</v>
      </c>
      <c r="E761">
        <v>0.1</v>
      </c>
      <c r="F761">
        <v>0.3</v>
      </c>
      <c r="G761">
        <v>1</v>
      </c>
      <c r="H761">
        <v>1.9</v>
      </c>
      <c r="I761">
        <v>3.5</v>
      </c>
      <c r="J761">
        <v>6.9</v>
      </c>
      <c r="K761">
        <v>16</v>
      </c>
      <c r="L761">
        <v>24.3</v>
      </c>
      <c r="M761">
        <v>33.200000000000003</v>
      </c>
      <c r="N761">
        <v>40</v>
      </c>
    </row>
    <row r="762" spans="3:14" x14ac:dyDescent="0.2">
      <c r="C762" t="s">
        <v>47</v>
      </c>
      <c r="D762">
        <v>0</v>
      </c>
      <c r="E762">
        <v>0</v>
      </c>
      <c r="F762">
        <v>0</v>
      </c>
      <c r="G762">
        <v>0.4</v>
      </c>
      <c r="H762">
        <v>0.7</v>
      </c>
      <c r="I762">
        <v>1.4</v>
      </c>
      <c r="J762">
        <v>2.8</v>
      </c>
      <c r="K762">
        <v>5.0999999999999996</v>
      </c>
      <c r="L762">
        <v>8.6999999999999993</v>
      </c>
      <c r="M762">
        <v>12.5</v>
      </c>
      <c r="N762">
        <v>15.8</v>
      </c>
    </row>
    <row r="763" spans="3:14" x14ac:dyDescent="0.2">
      <c r="C763" t="s">
        <v>624</v>
      </c>
      <c r="D763">
        <v>458.3</v>
      </c>
      <c r="E763">
        <v>425.1</v>
      </c>
      <c r="F763">
        <v>470.3</v>
      </c>
      <c r="G763">
        <v>481.8</v>
      </c>
      <c r="H763">
        <v>478.3</v>
      </c>
      <c r="I763">
        <v>437.1</v>
      </c>
      <c r="J763">
        <v>380.6</v>
      </c>
      <c r="K763">
        <v>303.10000000000002</v>
      </c>
      <c r="L763">
        <v>317.5</v>
      </c>
      <c r="M763">
        <v>331</v>
      </c>
      <c r="N763">
        <v>342.8</v>
      </c>
    </row>
    <row r="764" spans="3:14" x14ac:dyDescent="0.2">
      <c r="C764" t="s">
        <v>625</v>
      </c>
      <c r="D764">
        <v>-26.5</v>
      </c>
      <c r="E764">
        <v>15.2</v>
      </c>
      <c r="F764">
        <v>7.4</v>
      </c>
      <c r="G764">
        <v>0.9</v>
      </c>
      <c r="H764">
        <v>3.2</v>
      </c>
      <c r="I764">
        <v>8.1999999999999993</v>
      </c>
      <c r="J764">
        <v>17.8</v>
      </c>
      <c r="K764">
        <v>32.1</v>
      </c>
      <c r="L764">
        <v>13.4</v>
      </c>
      <c r="M764">
        <v>-6.7</v>
      </c>
      <c r="N764">
        <v>-24.2</v>
      </c>
    </row>
    <row r="765" spans="3:14" x14ac:dyDescent="0.2">
      <c r="C765" t="s">
        <v>626</v>
      </c>
      <c r="D765">
        <v>-7.5</v>
      </c>
      <c r="E765">
        <v>-8.1999999999999993</v>
      </c>
      <c r="F765">
        <v>-9.5</v>
      </c>
      <c r="G765">
        <v>-14.3</v>
      </c>
      <c r="H765">
        <v>-19.399999999999999</v>
      </c>
      <c r="I765">
        <v>-25.3</v>
      </c>
      <c r="J765">
        <v>-29.9</v>
      </c>
      <c r="K765">
        <v>-29.8</v>
      </c>
      <c r="L765">
        <v>-29.2</v>
      </c>
      <c r="M765">
        <v>-28.9</v>
      </c>
      <c r="N765">
        <v>-28.3</v>
      </c>
    </row>
    <row r="766" spans="3:14" x14ac:dyDescent="0.2">
      <c r="C766" t="s">
        <v>627</v>
      </c>
      <c r="D766">
        <v>424.3</v>
      </c>
      <c r="E766">
        <v>432.2</v>
      </c>
      <c r="F766">
        <v>468.1</v>
      </c>
      <c r="G766">
        <v>468.4</v>
      </c>
      <c r="H766">
        <v>462.1</v>
      </c>
      <c r="I766">
        <v>420</v>
      </c>
      <c r="J766">
        <v>368.5</v>
      </c>
      <c r="K766">
        <v>305.39999999999998</v>
      </c>
      <c r="L766">
        <v>301.7</v>
      </c>
      <c r="M766">
        <v>295.39999999999998</v>
      </c>
      <c r="N766">
        <v>290.3</v>
      </c>
    </row>
    <row r="767" spans="3:14" x14ac:dyDescent="0.2">
      <c r="C767" t="s">
        <v>628</v>
      </c>
      <c r="D767" s="75">
        <v>0.60099999999999998</v>
      </c>
      <c r="E767" s="75">
        <v>0.58099999999999996</v>
      </c>
      <c r="F767" s="75">
        <v>0.59499999999999997</v>
      </c>
      <c r="G767" s="75">
        <v>0.57799999999999996</v>
      </c>
      <c r="H767" s="75">
        <v>0.52300000000000002</v>
      </c>
      <c r="I767" s="75">
        <v>0.433</v>
      </c>
      <c r="J767" s="75">
        <v>0.30099999999999999</v>
      </c>
      <c r="K767" s="75">
        <v>7.4999999999999997E-2</v>
      </c>
      <c r="L767" s="75">
        <v>6.8000000000000005E-2</v>
      </c>
      <c r="M767" s="75">
        <v>6.5000000000000002E-2</v>
      </c>
      <c r="N767" s="75">
        <v>6.2E-2</v>
      </c>
    </row>
    <row r="770" spans="2:14" s="2" customFormat="1" ht="15" x14ac:dyDescent="0.25"/>
    <row r="771" spans="2:14" s="2" customFormat="1" ht="15" x14ac:dyDescent="0.25">
      <c r="C771" s="9" t="s">
        <v>652</v>
      </c>
      <c r="D771" s="2" t="s">
        <v>653</v>
      </c>
    </row>
    <row r="772" spans="2:14" s="2" customFormat="1" ht="15" x14ac:dyDescent="0.25">
      <c r="B772" s="2" t="s">
        <v>631</v>
      </c>
    </row>
    <row r="773" spans="2:14" s="2" customFormat="1" ht="15" x14ac:dyDescent="0.25">
      <c r="B773" s="13" t="s">
        <v>567</v>
      </c>
      <c r="D773" s="2">
        <v>2000</v>
      </c>
      <c r="E773" s="2">
        <v>2005</v>
      </c>
      <c r="F773" s="2">
        <v>2010</v>
      </c>
      <c r="G773" s="2">
        <v>2015</v>
      </c>
      <c r="H773" s="2">
        <v>2020</v>
      </c>
      <c r="I773" s="2">
        <v>2025</v>
      </c>
      <c r="J773" s="2">
        <v>2030</v>
      </c>
      <c r="K773" s="2">
        <v>2035</v>
      </c>
      <c r="L773" s="2">
        <v>2040</v>
      </c>
      <c r="M773" s="2">
        <v>2045</v>
      </c>
      <c r="N773" s="2">
        <v>2050</v>
      </c>
    </row>
    <row r="774" spans="2:14" x14ac:dyDescent="0.2">
      <c r="C774" t="s">
        <v>568</v>
      </c>
      <c r="D774">
        <v>38.380000000000003</v>
      </c>
      <c r="E774">
        <v>34.340000000000003</v>
      </c>
      <c r="F774">
        <v>35.42</v>
      </c>
      <c r="G774">
        <v>38.76</v>
      </c>
      <c r="H774">
        <v>41.48</v>
      </c>
      <c r="I774">
        <v>41.65</v>
      </c>
      <c r="J774">
        <v>41.77</v>
      </c>
      <c r="K774">
        <v>41.75</v>
      </c>
      <c r="L774">
        <v>41.86</v>
      </c>
      <c r="M774">
        <v>41.6</v>
      </c>
      <c r="N774">
        <v>41.58</v>
      </c>
    </row>
    <row r="775" spans="2:14" x14ac:dyDescent="0.2">
      <c r="C775" t="s">
        <v>602</v>
      </c>
      <c r="D775">
        <v>38.380000000000003</v>
      </c>
      <c r="E775">
        <v>34.340000000000003</v>
      </c>
      <c r="F775">
        <v>35.42</v>
      </c>
      <c r="G775">
        <v>36.950000000000003</v>
      </c>
      <c r="H775">
        <v>36.869999999999997</v>
      </c>
      <c r="I775">
        <v>36.83</v>
      </c>
      <c r="J775">
        <v>36.75</v>
      </c>
      <c r="K775">
        <v>36.54</v>
      </c>
      <c r="L775">
        <v>36.409999999999997</v>
      </c>
      <c r="M775">
        <v>35.85</v>
      </c>
      <c r="N775">
        <v>35.57</v>
      </c>
    </row>
    <row r="776" spans="2:14" x14ac:dyDescent="0.2">
      <c r="C776" t="s">
        <v>603</v>
      </c>
      <c r="D776" t="s">
        <v>3</v>
      </c>
      <c r="E776" t="s">
        <v>3</v>
      </c>
      <c r="F776" t="s">
        <v>3</v>
      </c>
      <c r="G776">
        <v>1.81</v>
      </c>
      <c r="H776">
        <v>4.6100000000000003</v>
      </c>
      <c r="I776">
        <v>4.82</v>
      </c>
      <c r="J776">
        <v>5.01</v>
      </c>
      <c r="K776">
        <v>5.21</v>
      </c>
      <c r="L776">
        <v>5.45</v>
      </c>
      <c r="M776">
        <v>5.75</v>
      </c>
      <c r="N776">
        <v>6.01</v>
      </c>
    </row>
    <row r="777" spans="2:14" x14ac:dyDescent="0.2">
      <c r="C777" t="s">
        <v>571</v>
      </c>
      <c r="D777">
        <v>24.73</v>
      </c>
      <c r="E777">
        <v>21.9</v>
      </c>
      <c r="F777">
        <v>25.13</v>
      </c>
      <c r="G777">
        <v>24.58</v>
      </c>
      <c r="H777">
        <v>21.68</v>
      </c>
      <c r="I777">
        <v>15.98</v>
      </c>
      <c r="J777">
        <v>8.81</v>
      </c>
      <c r="K777" t="s">
        <v>572</v>
      </c>
      <c r="L777" t="s">
        <v>3</v>
      </c>
      <c r="M777" t="s">
        <v>3</v>
      </c>
      <c r="N777" t="s">
        <v>3</v>
      </c>
    </row>
    <row r="778" spans="2:14" x14ac:dyDescent="0.2">
      <c r="C778" t="s">
        <v>604</v>
      </c>
      <c r="D778">
        <v>1.79</v>
      </c>
      <c r="E778">
        <v>2.0699999999999998</v>
      </c>
      <c r="F778">
        <v>2.1800000000000002</v>
      </c>
      <c r="G778">
        <v>2.65</v>
      </c>
      <c r="H778">
        <v>3.94</v>
      </c>
      <c r="I778">
        <v>6.9</v>
      </c>
      <c r="J778">
        <v>10.02</v>
      </c>
      <c r="K778">
        <v>22.28</v>
      </c>
      <c r="L778">
        <v>21.6</v>
      </c>
      <c r="M778">
        <v>21.98</v>
      </c>
      <c r="N778">
        <v>21.66</v>
      </c>
    </row>
    <row r="779" spans="2:14" x14ac:dyDescent="0.2">
      <c r="C779" t="s">
        <v>605</v>
      </c>
      <c r="D779">
        <v>1.79</v>
      </c>
      <c r="E779">
        <v>2.0699999999999998</v>
      </c>
      <c r="F779">
        <v>2.1800000000000002</v>
      </c>
      <c r="G779">
        <v>1.76</v>
      </c>
      <c r="H779">
        <v>1.48</v>
      </c>
      <c r="I779">
        <v>0.92</v>
      </c>
      <c r="J779">
        <v>0.57999999999999996</v>
      </c>
      <c r="K779">
        <v>0.32</v>
      </c>
      <c r="L779" t="s">
        <v>572</v>
      </c>
      <c r="M779" t="s">
        <v>3</v>
      </c>
      <c r="N779" t="s">
        <v>3</v>
      </c>
    </row>
    <row r="780" spans="2:14" x14ac:dyDescent="0.2">
      <c r="C780" t="s">
        <v>606</v>
      </c>
      <c r="D780" t="s">
        <v>572</v>
      </c>
      <c r="E780" t="s">
        <v>572</v>
      </c>
      <c r="F780" t="s">
        <v>3</v>
      </c>
      <c r="G780" t="s">
        <v>3</v>
      </c>
      <c r="H780">
        <v>0.97</v>
      </c>
      <c r="I780">
        <v>3.78</v>
      </c>
      <c r="J780">
        <v>6.74</v>
      </c>
      <c r="K780">
        <v>19.05</v>
      </c>
      <c r="L780">
        <v>18.5</v>
      </c>
      <c r="M780">
        <v>18.87</v>
      </c>
      <c r="N780">
        <v>18.54</v>
      </c>
    </row>
    <row r="781" spans="2:14" x14ac:dyDescent="0.2">
      <c r="C781" t="s">
        <v>607</v>
      </c>
      <c r="D781" t="s">
        <v>3</v>
      </c>
      <c r="E781" t="s">
        <v>3</v>
      </c>
      <c r="F781" t="s">
        <v>3</v>
      </c>
      <c r="G781">
        <v>0.89</v>
      </c>
      <c r="H781">
        <v>1.49</v>
      </c>
      <c r="I781">
        <v>2.2000000000000002</v>
      </c>
      <c r="J781">
        <v>2.7</v>
      </c>
      <c r="K781">
        <v>2.92</v>
      </c>
      <c r="L781">
        <v>3.1</v>
      </c>
      <c r="M781">
        <v>3.11</v>
      </c>
      <c r="N781">
        <v>3.11</v>
      </c>
    </row>
    <row r="782" spans="2:14" x14ac:dyDescent="0.2">
      <c r="C782" t="s">
        <v>608</v>
      </c>
      <c r="D782">
        <v>0.81</v>
      </c>
      <c r="E782">
        <v>1.01</v>
      </c>
      <c r="F782">
        <v>1.38</v>
      </c>
      <c r="G782">
        <v>1.83</v>
      </c>
      <c r="H782">
        <v>2.37</v>
      </c>
      <c r="I782">
        <v>3.15</v>
      </c>
      <c r="J782">
        <v>4.28</v>
      </c>
      <c r="K782">
        <v>6.13</v>
      </c>
      <c r="L782">
        <v>7.37</v>
      </c>
      <c r="M782">
        <v>8.9</v>
      </c>
      <c r="N782">
        <v>10.25</v>
      </c>
    </row>
    <row r="783" spans="2:14" x14ac:dyDescent="0.2">
      <c r="C783" t="s">
        <v>609</v>
      </c>
      <c r="D783">
        <v>0.81</v>
      </c>
      <c r="E783">
        <v>1.01</v>
      </c>
      <c r="F783">
        <v>1.38</v>
      </c>
      <c r="G783">
        <v>1.03</v>
      </c>
      <c r="H783">
        <v>0.92</v>
      </c>
      <c r="I783">
        <v>0.7</v>
      </c>
      <c r="J783">
        <v>0.4</v>
      </c>
      <c r="K783">
        <v>0.1</v>
      </c>
      <c r="L783">
        <v>0.01</v>
      </c>
      <c r="M783" t="s">
        <v>3</v>
      </c>
      <c r="N783" t="s">
        <v>3</v>
      </c>
    </row>
    <row r="784" spans="2:14" x14ac:dyDescent="0.2">
      <c r="C784" t="s">
        <v>610</v>
      </c>
      <c r="D784" t="s">
        <v>572</v>
      </c>
      <c r="E784" t="s">
        <v>3</v>
      </c>
      <c r="F784" t="s">
        <v>3</v>
      </c>
      <c r="G784">
        <v>0.8</v>
      </c>
      <c r="H784">
        <v>1.45</v>
      </c>
      <c r="I784">
        <v>2.4500000000000002</v>
      </c>
      <c r="J784">
        <v>3.88</v>
      </c>
      <c r="K784">
        <v>6.03</v>
      </c>
      <c r="L784">
        <v>7.36</v>
      </c>
      <c r="M784">
        <v>8.9</v>
      </c>
      <c r="N784">
        <v>10.25</v>
      </c>
    </row>
    <row r="785" spans="3:14" x14ac:dyDescent="0.2">
      <c r="C785" t="s">
        <v>580</v>
      </c>
      <c r="D785">
        <v>0.01</v>
      </c>
      <c r="E785">
        <v>0.02</v>
      </c>
      <c r="F785">
        <v>0.08</v>
      </c>
      <c r="G785">
        <v>0.21</v>
      </c>
      <c r="H785">
        <v>0.34</v>
      </c>
      <c r="I785">
        <v>0.55000000000000004</v>
      </c>
      <c r="J785">
        <v>0.96</v>
      </c>
      <c r="K785">
        <v>2.52</v>
      </c>
      <c r="L785">
        <v>3.48</v>
      </c>
      <c r="M785">
        <v>4.7300000000000004</v>
      </c>
      <c r="N785">
        <v>5.92</v>
      </c>
    </row>
    <row r="786" spans="3:14" x14ac:dyDescent="0.2">
      <c r="C786" t="s">
        <v>581</v>
      </c>
      <c r="D786">
        <v>0</v>
      </c>
      <c r="E786">
        <v>0.01</v>
      </c>
      <c r="F786">
        <v>0.04</v>
      </c>
      <c r="G786">
        <v>0.09</v>
      </c>
      <c r="H786">
        <v>0.14000000000000001</v>
      </c>
      <c r="I786">
        <v>0.25</v>
      </c>
      <c r="J786">
        <v>0.56999999999999995</v>
      </c>
      <c r="K786">
        <v>0.77</v>
      </c>
      <c r="L786">
        <v>1.02</v>
      </c>
      <c r="M786">
        <v>1.25</v>
      </c>
      <c r="N786">
        <v>1.41</v>
      </c>
    </row>
    <row r="787" spans="3:14" x14ac:dyDescent="0.2">
      <c r="C787" t="s">
        <v>582</v>
      </c>
      <c r="D787" t="s">
        <v>572</v>
      </c>
      <c r="E787" t="s">
        <v>572</v>
      </c>
      <c r="F787" t="s">
        <v>3</v>
      </c>
      <c r="G787" t="s">
        <v>3</v>
      </c>
      <c r="H787" t="s">
        <v>3</v>
      </c>
      <c r="I787" t="s">
        <v>3</v>
      </c>
      <c r="J787" t="s">
        <v>3</v>
      </c>
      <c r="K787" t="s">
        <v>3</v>
      </c>
      <c r="L787" t="s">
        <v>3</v>
      </c>
      <c r="M787" t="s">
        <v>3</v>
      </c>
      <c r="N787" t="s">
        <v>3</v>
      </c>
    </row>
    <row r="788" spans="3:14" x14ac:dyDescent="0.2">
      <c r="C788" t="s">
        <v>47</v>
      </c>
      <c r="D788" t="s">
        <v>572</v>
      </c>
      <c r="E788" t="s">
        <v>572</v>
      </c>
      <c r="F788" t="s">
        <v>3</v>
      </c>
      <c r="G788">
        <v>0.03</v>
      </c>
      <c r="H788">
        <v>0.1</v>
      </c>
      <c r="I788">
        <v>0.2</v>
      </c>
      <c r="J788">
        <v>0.33</v>
      </c>
      <c r="K788">
        <v>0.39</v>
      </c>
      <c r="L788">
        <v>0.39</v>
      </c>
      <c r="M788">
        <v>0.42</v>
      </c>
      <c r="N788">
        <v>0.42</v>
      </c>
    </row>
    <row r="789" spans="3:14" x14ac:dyDescent="0.2">
      <c r="C789" t="s">
        <v>583</v>
      </c>
      <c r="D789">
        <v>0.01</v>
      </c>
      <c r="E789">
        <v>0.03</v>
      </c>
      <c r="F789">
        <v>0.14000000000000001</v>
      </c>
      <c r="G789">
        <v>0.3</v>
      </c>
      <c r="H789">
        <v>0.42</v>
      </c>
      <c r="I789">
        <v>0.56999999999999995</v>
      </c>
      <c r="J789">
        <v>0.69</v>
      </c>
      <c r="K789">
        <v>0.65</v>
      </c>
      <c r="L789">
        <v>0.67</v>
      </c>
      <c r="M789">
        <v>0.68</v>
      </c>
      <c r="N789">
        <v>0.68</v>
      </c>
    </row>
    <row r="790" spans="3:14" x14ac:dyDescent="0.2">
      <c r="C790" t="s">
        <v>584</v>
      </c>
      <c r="D790">
        <v>0.01</v>
      </c>
      <c r="E790">
        <v>0.02</v>
      </c>
      <c r="F790">
        <v>0.08</v>
      </c>
      <c r="G790">
        <v>0.16</v>
      </c>
      <c r="H790">
        <v>0.26</v>
      </c>
      <c r="I790">
        <v>0.38</v>
      </c>
      <c r="J790">
        <v>0.48</v>
      </c>
      <c r="K790">
        <v>0.51</v>
      </c>
      <c r="L790">
        <v>0.52</v>
      </c>
      <c r="M790">
        <v>0.53</v>
      </c>
      <c r="N790">
        <v>0.53</v>
      </c>
    </row>
    <row r="791" spans="3:14" x14ac:dyDescent="0.2">
      <c r="C791" t="s">
        <v>585</v>
      </c>
      <c r="D791">
        <v>0.09</v>
      </c>
      <c r="E791">
        <v>0.11</v>
      </c>
      <c r="F791">
        <v>0.12</v>
      </c>
      <c r="G791">
        <v>0.1</v>
      </c>
      <c r="H791">
        <v>0.16</v>
      </c>
      <c r="I791">
        <v>0.22</v>
      </c>
      <c r="J791">
        <v>0.27</v>
      </c>
      <c r="K791">
        <v>0.28999999999999998</v>
      </c>
      <c r="L791">
        <v>0.28999999999999998</v>
      </c>
      <c r="M791">
        <v>0.3</v>
      </c>
      <c r="N791">
        <v>0.3</v>
      </c>
    </row>
    <row r="792" spans="3:14" x14ac:dyDescent="0.2">
      <c r="C792" t="s">
        <v>586</v>
      </c>
      <c r="D792">
        <v>0.63</v>
      </c>
      <c r="E792">
        <v>0.8</v>
      </c>
      <c r="F792">
        <v>0.92</v>
      </c>
      <c r="G792">
        <v>0.94</v>
      </c>
      <c r="H792">
        <v>0.94</v>
      </c>
      <c r="I792">
        <v>0.97</v>
      </c>
      <c r="J792">
        <v>0.98</v>
      </c>
      <c r="K792">
        <v>0.98</v>
      </c>
      <c r="L792">
        <v>0.99</v>
      </c>
      <c r="M792">
        <v>0.99</v>
      </c>
      <c r="N792">
        <v>0.99</v>
      </c>
    </row>
    <row r="793" spans="3:14" x14ac:dyDescent="0.2">
      <c r="C793" t="s">
        <v>587</v>
      </c>
      <c r="D793">
        <v>0.04</v>
      </c>
      <c r="E793">
        <v>0.02</v>
      </c>
      <c r="F793">
        <v>0</v>
      </c>
      <c r="G793">
        <v>0.01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</row>
    <row r="794" spans="3:14" x14ac:dyDescent="0.2">
      <c r="C794" t="s">
        <v>588</v>
      </c>
      <c r="D794" s="20">
        <f t="shared" ref="D794:J794" si="69">D774+D777+D778+D782</f>
        <v>65.710000000000008</v>
      </c>
      <c r="E794" s="20">
        <f t="shared" si="69"/>
        <v>59.32</v>
      </c>
      <c r="F794" s="20">
        <f t="shared" si="69"/>
        <v>64.11</v>
      </c>
      <c r="G794" s="20">
        <f t="shared" si="69"/>
        <v>67.819999999999993</v>
      </c>
      <c r="H794" s="20">
        <f t="shared" si="69"/>
        <v>69.47</v>
      </c>
      <c r="I794" s="20">
        <f t="shared" si="69"/>
        <v>67.680000000000007</v>
      </c>
      <c r="J794" s="20">
        <f t="shared" si="69"/>
        <v>64.88000000000001</v>
      </c>
      <c r="K794" s="20">
        <f>K774+K778+K782</f>
        <v>70.16</v>
      </c>
      <c r="L794" s="20">
        <f>L774+L778+L782</f>
        <v>70.83</v>
      </c>
      <c r="M794" s="20">
        <f>M774+M778+M782</f>
        <v>72.48</v>
      </c>
      <c r="N794" s="20">
        <f>N774+N778+N782</f>
        <v>73.489999999999995</v>
      </c>
    </row>
    <row r="795" spans="3:14" x14ac:dyDescent="0.2">
      <c r="C795" t="s">
        <v>654</v>
      </c>
      <c r="D795">
        <v>-2.2200000000000002</v>
      </c>
      <c r="E795">
        <v>-2.2200000000000002</v>
      </c>
      <c r="F795">
        <v>-2.56</v>
      </c>
      <c r="G795">
        <v>-4.34</v>
      </c>
      <c r="H795">
        <v>-7.54</v>
      </c>
      <c r="I795">
        <v>-7.54</v>
      </c>
      <c r="J795">
        <v>-7.54</v>
      </c>
      <c r="K795">
        <v>-7.54</v>
      </c>
      <c r="L795">
        <v>-7.54</v>
      </c>
      <c r="M795">
        <v>-7.54</v>
      </c>
      <c r="N795">
        <v>-7.54</v>
      </c>
    </row>
    <row r="796" spans="3:14" x14ac:dyDescent="0.2">
      <c r="C796" s="14" t="s">
        <v>590</v>
      </c>
      <c r="D796" s="32">
        <f>D794+D795</f>
        <v>63.490000000000009</v>
      </c>
      <c r="E796" s="32">
        <f t="shared" ref="E796:N796" si="70">E794+E795</f>
        <v>57.1</v>
      </c>
      <c r="F796" s="32">
        <f t="shared" si="70"/>
        <v>61.55</v>
      </c>
      <c r="G796" s="32">
        <f t="shared" si="70"/>
        <v>63.47999999999999</v>
      </c>
      <c r="H796" s="32">
        <f t="shared" si="70"/>
        <v>61.93</v>
      </c>
      <c r="I796" s="32">
        <f t="shared" si="70"/>
        <v>60.140000000000008</v>
      </c>
      <c r="J796" s="32">
        <f t="shared" si="70"/>
        <v>57.340000000000011</v>
      </c>
      <c r="K796" s="32">
        <f t="shared" si="70"/>
        <v>62.62</v>
      </c>
      <c r="L796" s="32">
        <f t="shared" si="70"/>
        <v>63.29</v>
      </c>
      <c r="M796" s="32">
        <f t="shared" si="70"/>
        <v>64.94</v>
      </c>
      <c r="N796" s="32">
        <f t="shared" si="70"/>
        <v>65.949999999999989</v>
      </c>
    </row>
    <row r="797" spans="3:14" x14ac:dyDescent="0.2">
      <c r="C797" t="s">
        <v>591</v>
      </c>
      <c r="D797">
        <v>18.72</v>
      </c>
      <c r="E797">
        <v>17.98</v>
      </c>
      <c r="F797">
        <v>17.239999999999998</v>
      </c>
      <c r="G797">
        <v>17.239999999999998</v>
      </c>
      <c r="H797">
        <v>10.06</v>
      </c>
      <c r="I797">
        <v>8.42</v>
      </c>
      <c r="J797">
        <v>8.42</v>
      </c>
      <c r="K797">
        <v>2.61</v>
      </c>
      <c r="L797">
        <v>1.3</v>
      </c>
      <c r="M797" t="s">
        <v>3</v>
      </c>
      <c r="N797" t="s">
        <v>3</v>
      </c>
    </row>
    <row r="798" spans="3:14" x14ac:dyDescent="0.2">
      <c r="C798" t="s">
        <v>592</v>
      </c>
      <c r="D798">
        <v>18.72</v>
      </c>
      <c r="E798">
        <v>17.98</v>
      </c>
      <c r="F798">
        <v>17.239999999999998</v>
      </c>
      <c r="G798">
        <v>17.239999999999998</v>
      </c>
      <c r="H798">
        <v>10.06</v>
      </c>
      <c r="I798">
        <v>8.42</v>
      </c>
      <c r="J798">
        <v>8.42</v>
      </c>
      <c r="K798">
        <v>2.61</v>
      </c>
      <c r="L798">
        <v>1.3</v>
      </c>
      <c r="M798" t="s">
        <v>3</v>
      </c>
      <c r="N798" t="s">
        <v>572</v>
      </c>
    </row>
    <row r="799" spans="3:14" x14ac:dyDescent="0.2">
      <c r="C799" t="s">
        <v>593</v>
      </c>
      <c r="D799" t="s">
        <v>572</v>
      </c>
      <c r="E799" t="s">
        <v>3</v>
      </c>
      <c r="F799" t="s">
        <v>3</v>
      </c>
      <c r="G799" t="s">
        <v>3</v>
      </c>
      <c r="H799" t="s">
        <v>3</v>
      </c>
      <c r="I799" t="s">
        <v>3</v>
      </c>
      <c r="J799" t="s">
        <v>3</v>
      </c>
      <c r="K799" t="s">
        <v>572</v>
      </c>
      <c r="L799" t="s">
        <v>3</v>
      </c>
      <c r="M799" t="s">
        <v>3</v>
      </c>
      <c r="N799" t="s">
        <v>3</v>
      </c>
    </row>
    <row r="800" spans="3:14" x14ac:dyDescent="0.2">
      <c r="C800" t="s">
        <v>594</v>
      </c>
      <c r="D800">
        <v>26.07</v>
      </c>
      <c r="E800">
        <v>13.75</v>
      </c>
      <c r="F800">
        <v>15.19</v>
      </c>
      <c r="G800">
        <v>15.64</v>
      </c>
      <c r="H800">
        <v>7.99</v>
      </c>
      <c r="I800">
        <v>5.53</v>
      </c>
      <c r="J800">
        <v>3.07</v>
      </c>
      <c r="K800">
        <v>2.2599999999999998</v>
      </c>
      <c r="L800">
        <v>0.66</v>
      </c>
      <c r="M800" t="s">
        <v>572</v>
      </c>
      <c r="N800" t="s">
        <v>3</v>
      </c>
    </row>
    <row r="801" spans="2:14" x14ac:dyDescent="0.2">
      <c r="C801" t="s">
        <v>612</v>
      </c>
      <c r="D801">
        <v>2.83</v>
      </c>
      <c r="E801">
        <v>2.2599999999999998</v>
      </c>
      <c r="F801">
        <v>2.2599999999999998</v>
      </c>
      <c r="G801">
        <v>2.2599999999999998</v>
      </c>
      <c r="H801">
        <v>2.2599999999999998</v>
      </c>
      <c r="I801">
        <v>2.2599999999999998</v>
      </c>
      <c r="J801">
        <v>2.2599999999999998</v>
      </c>
      <c r="K801">
        <v>2.2599999999999998</v>
      </c>
      <c r="L801">
        <v>0.66</v>
      </c>
      <c r="M801" t="s">
        <v>572</v>
      </c>
      <c r="N801" t="s">
        <v>3</v>
      </c>
    </row>
    <row r="802" spans="2:14" x14ac:dyDescent="0.2">
      <c r="C802" t="s">
        <v>596</v>
      </c>
      <c r="D802">
        <v>23.24</v>
      </c>
      <c r="E802">
        <v>11.49</v>
      </c>
      <c r="F802">
        <v>12.93</v>
      </c>
      <c r="G802">
        <v>13.38</v>
      </c>
      <c r="H802">
        <v>5.73</v>
      </c>
      <c r="I802">
        <v>3.27</v>
      </c>
      <c r="J802">
        <v>0.81</v>
      </c>
      <c r="K802" t="s">
        <v>572</v>
      </c>
      <c r="L802" t="s">
        <v>3</v>
      </c>
      <c r="M802" t="s">
        <v>3</v>
      </c>
      <c r="N802" t="s">
        <v>3</v>
      </c>
    </row>
    <row r="803" spans="2:14" x14ac:dyDescent="0.2">
      <c r="C803" s="14" t="s">
        <v>597</v>
      </c>
      <c r="D803" s="32">
        <f>D797-D800</f>
        <v>-7.3500000000000014</v>
      </c>
      <c r="E803" s="32">
        <f t="shared" ref="E803:L803" si="71">E797-E800</f>
        <v>4.2300000000000004</v>
      </c>
      <c r="F803" s="32">
        <f t="shared" si="71"/>
        <v>2.0499999999999989</v>
      </c>
      <c r="G803" s="32">
        <f t="shared" si="71"/>
        <v>1.5999999999999979</v>
      </c>
      <c r="H803" s="32">
        <f t="shared" si="71"/>
        <v>2.0700000000000003</v>
      </c>
      <c r="I803" s="32">
        <f t="shared" si="71"/>
        <v>2.8899999999999997</v>
      </c>
      <c r="J803" s="32">
        <f t="shared" si="71"/>
        <v>5.35</v>
      </c>
      <c r="K803" s="32">
        <f t="shared" si="71"/>
        <v>0.35000000000000009</v>
      </c>
      <c r="L803" s="32">
        <f t="shared" si="71"/>
        <v>0.64</v>
      </c>
      <c r="M803" s="32">
        <v>0</v>
      </c>
      <c r="N803" s="32">
        <v>0</v>
      </c>
    </row>
    <row r="804" spans="2:14" x14ac:dyDescent="0.2">
      <c r="C804" t="s">
        <v>598</v>
      </c>
      <c r="D804" s="20">
        <f>D796+D803</f>
        <v>56.140000000000008</v>
      </c>
      <c r="E804" s="20">
        <f t="shared" ref="E804:N804" si="72">E796+E803</f>
        <v>61.33</v>
      </c>
      <c r="F804" s="20">
        <f t="shared" si="72"/>
        <v>63.599999999999994</v>
      </c>
      <c r="G804" s="20">
        <f t="shared" si="72"/>
        <v>65.079999999999984</v>
      </c>
      <c r="H804" s="20">
        <f t="shared" si="72"/>
        <v>64</v>
      </c>
      <c r="I804" s="20">
        <f t="shared" si="72"/>
        <v>63.030000000000008</v>
      </c>
      <c r="J804" s="20">
        <f t="shared" si="72"/>
        <v>62.690000000000012</v>
      </c>
      <c r="K804" s="20">
        <f t="shared" si="72"/>
        <v>62.97</v>
      </c>
      <c r="L804" s="20">
        <f t="shared" si="72"/>
        <v>63.93</v>
      </c>
      <c r="M804" s="20">
        <f t="shared" si="72"/>
        <v>64.94</v>
      </c>
      <c r="N804" s="20">
        <f t="shared" si="72"/>
        <v>65.949999999999989</v>
      </c>
    </row>
    <row r="806" spans="2:14" x14ac:dyDescent="0.2">
      <c r="C806" t="s">
        <v>599</v>
      </c>
      <c r="D806">
        <v>61.18</v>
      </c>
      <c r="E806">
        <v>65.81</v>
      </c>
      <c r="F806">
        <v>68.41</v>
      </c>
      <c r="G806">
        <v>71.680000000000007</v>
      </c>
      <c r="H806">
        <v>73.81</v>
      </c>
      <c r="I806">
        <v>72.84</v>
      </c>
      <c r="J806">
        <v>72.48</v>
      </c>
      <c r="K806">
        <v>72.77</v>
      </c>
      <c r="L806">
        <v>72.13</v>
      </c>
      <c r="M806">
        <v>72.47</v>
      </c>
      <c r="N806">
        <v>73.489999999999995</v>
      </c>
    </row>
    <row r="812" spans="2:14" s="2" customFormat="1" ht="15" x14ac:dyDescent="0.25">
      <c r="C812" s="9" t="s">
        <v>655</v>
      </c>
      <c r="D812" s="2" t="s">
        <v>653</v>
      </c>
    </row>
    <row r="813" spans="2:14" s="2" customFormat="1" ht="15" x14ac:dyDescent="0.25">
      <c r="B813" s="2" t="s">
        <v>600</v>
      </c>
    </row>
    <row r="814" spans="2:14" s="2" customFormat="1" ht="15" x14ac:dyDescent="0.25">
      <c r="B814" s="13" t="s">
        <v>601</v>
      </c>
      <c r="D814" s="2">
        <v>2000</v>
      </c>
      <c r="E814" s="2">
        <v>2005</v>
      </c>
      <c r="F814" s="2">
        <v>2010</v>
      </c>
      <c r="G814" s="2">
        <v>2015</v>
      </c>
      <c r="H814" s="2">
        <v>2020</v>
      </c>
      <c r="I814" s="2">
        <v>2025</v>
      </c>
      <c r="J814" s="2">
        <v>2030</v>
      </c>
      <c r="K814" s="2">
        <v>2035</v>
      </c>
      <c r="L814" s="2">
        <v>2040</v>
      </c>
      <c r="M814" s="2">
        <v>2045</v>
      </c>
      <c r="N814" s="2">
        <v>2050</v>
      </c>
    </row>
    <row r="815" spans="2:14" x14ac:dyDescent="0.2">
      <c r="C815" t="s">
        <v>568</v>
      </c>
      <c r="D815">
        <v>17.71</v>
      </c>
      <c r="E815">
        <v>15.56</v>
      </c>
      <c r="F815">
        <v>14.16</v>
      </c>
      <c r="G815">
        <v>16.989999999999998</v>
      </c>
      <c r="H815">
        <v>18.8</v>
      </c>
      <c r="I815">
        <v>19.04</v>
      </c>
      <c r="J815">
        <v>19.25</v>
      </c>
      <c r="K815">
        <v>19.41</v>
      </c>
      <c r="L815">
        <v>19.62</v>
      </c>
      <c r="M815">
        <v>19.670000000000002</v>
      </c>
      <c r="N815">
        <v>19.87</v>
      </c>
    </row>
    <row r="816" spans="2:14" x14ac:dyDescent="0.2">
      <c r="C816" t="s">
        <v>633</v>
      </c>
      <c r="D816">
        <v>17.71</v>
      </c>
      <c r="E816">
        <v>15.56</v>
      </c>
      <c r="F816">
        <v>14.16</v>
      </c>
      <c r="G816">
        <v>15.95</v>
      </c>
      <c r="H816">
        <v>16.09</v>
      </c>
      <c r="I816">
        <v>16.239999999999998</v>
      </c>
      <c r="J816">
        <v>16.39</v>
      </c>
      <c r="K816">
        <v>16.47</v>
      </c>
      <c r="L816">
        <v>16.59</v>
      </c>
      <c r="M816">
        <v>16.53</v>
      </c>
      <c r="N816">
        <v>16.63</v>
      </c>
    </row>
    <row r="817" spans="3:14" x14ac:dyDescent="0.2">
      <c r="C817" t="s">
        <v>603</v>
      </c>
      <c r="D817" t="s">
        <v>572</v>
      </c>
      <c r="E817" t="s">
        <v>3</v>
      </c>
      <c r="F817" t="s">
        <v>3</v>
      </c>
      <c r="G817">
        <v>1.04</v>
      </c>
      <c r="H817">
        <v>2.72</v>
      </c>
      <c r="I817">
        <v>2.79</v>
      </c>
      <c r="J817">
        <v>2.86</v>
      </c>
      <c r="K817">
        <v>2.94</v>
      </c>
      <c r="L817">
        <v>3.02</v>
      </c>
      <c r="M817">
        <v>3.14</v>
      </c>
      <c r="N817">
        <v>3.24</v>
      </c>
    </row>
    <row r="818" spans="3:14" x14ac:dyDescent="0.2">
      <c r="C818" t="s">
        <v>571</v>
      </c>
      <c r="D818">
        <v>13.72</v>
      </c>
      <c r="E818">
        <v>13.94</v>
      </c>
      <c r="F818">
        <v>14.17</v>
      </c>
      <c r="G818">
        <v>13.5</v>
      </c>
      <c r="H818">
        <v>11.91</v>
      </c>
      <c r="I818">
        <v>8.7799999999999994</v>
      </c>
      <c r="J818">
        <v>4.84</v>
      </c>
      <c r="K818" t="s">
        <v>3</v>
      </c>
      <c r="L818" t="s">
        <v>3</v>
      </c>
      <c r="M818" t="s">
        <v>3</v>
      </c>
      <c r="N818" t="s">
        <v>3</v>
      </c>
    </row>
    <row r="819" spans="3:14" x14ac:dyDescent="0.2">
      <c r="C819" t="s">
        <v>604</v>
      </c>
      <c r="D819">
        <v>1.1100000000000001</v>
      </c>
      <c r="E819">
        <v>1.25</v>
      </c>
      <c r="F819">
        <v>1.3</v>
      </c>
      <c r="G819">
        <v>1.6</v>
      </c>
      <c r="H819">
        <v>2.78</v>
      </c>
      <c r="I819">
        <v>5.72</v>
      </c>
      <c r="J819">
        <v>8.7899999999999991</v>
      </c>
      <c r="K819">
        <v>16.28</v>
      </c>
      <c r="L819">
        <v>16.190000000000001</v>
      </c>
      <c r="M819">
        <v>16.61</v>
      </c>
      <c r="N819">
        <v>16.64</v>
      </c>
    </row>
    <row r="820" spans="3:14" x14ac:dyDescent="0.2">
      <c r="C820" t="s">
        <v>605</v>
      </c>
      <c r="D820">
        <v>1.1100000000000001</v>
      </c>
      <c r="E820">
        <v>1.25</v>
      </c>
      <c r="F820">
        <v>1.3</v>
      </c>
      <c r="G820">
        <v>1.05</v>
      </c>
      <c r="H820">
        <v>0.86</v>
      </c>
      <c r="I820">
        <v>0.53</v>
      </c>
      <c r="J820">
        <v>0.34</v>
      </c>
      <c r="K820">
        <v>0.18</v>
      </c>
      <c r="L820" t="s">
        <v>3</v>
      </c>
      <c r="M820" t="s">
        <v>3</v>
      </c>
      <c r="N820" t="s">
        <v>3</v>
      </c>
    </row>
    <row r="821" spans="3:14" x14ac:dyDescent="0.2">
      <c r="C821" t="s">
        <v>606</v>
      </c>
      <c r="D821" t="s">
        <v>3</v>
      </c>
      <c r="E821" t="s">
        <v>3</v>
      </c>
      <c r="F821" t="s">
        <v>3</v>
      </c>
      <c r="G821" t="s">
        <v>3</v>
      </c>
      <c r="H821">
        <v>0.97</v>
      </c>
      <c r="I821">
        <v>3.78</v>
      </c>
      <c r="J821">
        <v>6.74</v>
      </c>
      <c r="K821">
        <v>14.26</v>
      </c>
      <c r="L821">
        <v>14.24</v>
      </c>
      <c r="M821">
        <v>14.66</v>
      </c>
      <c r="N821">
        <v>14.69</v>
      </c>
    </row>
    <row r="822" spans="3:14" x14ac:dyDescent="0.2">
      <c r="C822" t="s">
        <v>607</v>
      </c>
      <c r="D822" t="s">
        <v>3</v>
      </c>
      <c r="E822" t="s">
        <v>3</v>
      </c>
      <c r="F822" t="s">
        <v>3</v>
      </c>
      <c r="G822">
        <v>0.55000000000000004</v>
      </c>
      <c r="H822">
        <v>0.95</v>
      </c>
      <c r="I822">
        <v>1.4</v>
      </c>
      <c r="J822">
        <v>1.71</v>
      </c>
      <c r="K822">
        <v>1.84</v>
      </c>
      <c r="L822">
        <v>1.95</v>
      </c>
      <c r="M822">
        <v>1.95</v>
      </c>
      <c r="N822">
        <v>1.95</v>
      </c>
    </row>
    <row r="823" spans="3:14" x14ac:dyDescent="0.2">
      <c r="C823" t="s">
        <v>608</v>
      </c>
      <c r="D823">
        <v>0.45</v>
      </c>
      <c r="E823">
        <v>0.55000000000000004</v>
      </c>
      <c r="F823">
        <v>0.76</v>
      </c>
      <c r="G823">
        <v>1.01</v>
      </c>
      <c r="H823">
        <v>1.29</v>
      </c>
      <c r="I823">
        <v>1.69</v>
      </c>
      <c r="J823">
        <v>2.23</v>
      </c>
      <c r="K823">
        <v>2.81</v>
      </c>
      <c r="L823">
        <v>3.24</v>
      </c>
      <c r="M823">
        <v>3.74</v>
      </c>
      <c r="N823">
        <v>4.16</v>
      </c>
    </row>
    <row r="824" spans="3:14" x14ac:dyDescent="0.2">
      <c r="C824" t="s">
        <v>609</v>
      </c>
      <c r="D824">
        <v>0.45</v>
      </c>
      <c r="E824">
        <v>0.55000000000000004</v>
      </c>
      <c r="F824">
        <v>0.76</v>
      </c>
      <c r="G824">
        <v>0.56000000000000005</v>
      </c>
      <c r="H824">
        <v>0.5</v>
      </c>
      <c r="I824">
        <v>0.38</v>
      </c>
      <c r="J824">
        <v>0.21</v>
      </c>
      <c r="K824">
        <v>0.05</v>
      </c>
      <c r="L824">
        <v>0</v>
      </c>
      <c r="M824" t="s">
        <v>3</v>
      </c>
      <c r="N824" t="s">
        <v>3</v>
      </c>
    </row>
    <row r="825" spans="3:14" x14ac:dyDescent="0.2">
      <c r="C825" t="s">
        <v>610</v>
      </c>
      <c r="D825" t="s">
        <v>3</v>
      </c>
      <c r="E825" t="s">
        <v>3</v>
      </c>
      <c r="F825" t="s">
        <v>3</v>
      </c>
      <c r="G825">
        <v>0.45</v>
      </c>
      <c r="H825">
        <v>0.79</v>
      </c>
      <c r="I825">
        <v>1.31</v>
      </c>
      <c r="J825">
        <v>2.02</v>
      </c>
      <c r="K825">
        <v>2.75</v>
      </c>
      <c r="L825">
        <v>3.24</v>
      </c>
      <c r="M825">
        <v>3.74</v>
      </c>
      <c r="N825">
        <v>4.16</v>
      </c>
    </row>
    <row r="826" spans="3:14" x14ac:dyDescent="0.2">
      <c r="C826" t="s">
        <v>580</v>
      </c>
      <c r="D826">
        <v>0</v>
      </c>
      <c r="E826">
        <v>0.01</v>
      </c>
      <c r="F826">
        <v>0.02</v>
      </c>
      <c r="G826">
        <v>0.06</v>
      </c>
      <c r="H826">
        <v>0.09</v>
      </c>
      <c r="I826">
        <v>0.15</v>
      </c>
      <c r="J826">
        <v>0.26</v>
      </c>
      <c r="K826">
        <v>0.68</v>
      </c>
      <c r="L826">
        <v>0.94</v>
      </c>
      <c r="M826">
        <v>1.28</v>
      </c>
      <c r="N826">
        <v>1.6</v>
      </c>
    </row>
    <row r="827" spans="3:14" x14ac:dyDescent="0.2">
      <c r="C827" t="s">
        <v>581</v>
      </c>
      <c r="D827">
        <v>0</v>
      </c>
      <c r="E827">
        <v>0.01</v>
      </c>
      <c r="F827">
        <v>0.02</v>
      </c>
      <c r="G827">
        <v>0.05</v>
      </c>
      <c r="H827">
        <v>0.09</v>
      </c>
      <c r="I827">
        <v>0.15</v>
      </c>
      <c r="J827">
        <v>0.34</v>
      </c>
      <c r="K827">
        <v>0.46</v>
      </c>
      <c r="L827">
        <v>0.61</v>
      </c>
      <c r="M827">
        <v>0.75</v>
      </c>
      <c r="N827">
        <v>0.85</v>
      </c>
    </row>
    <row r="828" spans="3:14" x14ac:dyDescent="0.2">
      <c r="C828" t="s">
        <v>582</v>
      </c>
      <c r="D828" t="s">
        <v>3</v>
      </c>
      <c r="E828" t="s">
        <v>3</v>
      </c>
      <c r="F828" t="s">
        <v>3</v>
      </c>
      <c r="G828" t="s">
        <v>3</v>
      </c>
      <c r="H828" t="s">
        <v>3</v>
      </c>
      <c r="I828" t="s">
        <v>3</v>
      </c>
      <c r="J828" t="s">
        <v>3</v>
      </c>
      <c r="K828" t="s">
        <v>3</v>
      </c>
      <c r="L828" t="s">
        <v>3</v>
      </c>
      <c r="M828" t="s">
        <v>3</v>
      </c>
      <c r="N828" t="s">
        <v>3</v>
      </c>
    </row>
    <row r="829" spans="3:14" x14ac:dyDescent="0.2">
      <c r="C829" t="s">
        <v>47</v>
      </c>
      <c r="D829" t="s">
        <v>3</v>
      </c>
      <c r="E829" t="s">
        <v>3</v>
      </c>
      <c r="F829" t="s">
        <v>3</v>
      </c>
      <c r="G829">
        <v>0.02</v>
      </c>
      <c r="H829">
        <v>0.05</v>
      </c>
      <c r="I829">
        <v>0.1</v>
      </c>
      <c r="J829">
        <v>0.16</v>
      </c>
      <c r="K829">
        <v>0.2</v>
      </c>
      <c r="L829">
        <v>0.2</v>
      </c>
      <c r="M829">
        <v>0.21</v>
      </c>
      <c r="N829">
        <v>0.21</v>
      </c>
    </row>
    <row r="830" spans="3:14" x14ac:dyDescent="0.2">
      <c r="C830" t="s">
        <v>583</v>
      </c>
      <c r="D830">
        <v>0.01</v>
      </c>
      <c r="E830">
        <v>0.02</v>
      </c>
      <c r="F830">
        <v>0.09</v>
      </c>
      <c r="G830">
        <v>0.21</v>
      </c>
      <c r="H830">
        <v>0.28999999999999998</v>
      </c>
      <c r="I830">
        <v>0.39</v>
      </c>
      <c r="J830">
        <v>0.47</v>
      </c>
      <c r="K830">
        <v>0.44</v>
      </c>
      <c r="L830">
        <v>0.45</v>
      </c>
      <c r="M830">
        <v>0.45</v>
      </c>
      <c r="N830">
        <v>0.45</v>
      </c>
    </row>
    <row r="831" spans="3:14" x14ac:dyDescent="0.2">
      <c r="C831" t="s">
        <v>584</v>
      </c>
      <c r="D831">
        <v>0.01</v>
      </c>
      <c r="E831">
        <v>0.01</v>
      </c>
      <c r="F831">
        <v>0.05</v>
      </c>
      <c r="G831">
        <v>0.1</v>
      </c>
      <c r="H831">
        <v>0.16</v>
      </c>
      <c r="I831">
        <v>0.23</v>
      </c>
      <c r="J831">
        <v>0.3</v>
      </c>
      <c r="K831">
        <v>0.32</v>
      </c>
      <c r="L831">
        <v>0.33</v>
      </c>
      <c r="M831">
        <v>0.33</v>
      </c>
      <c r="N831">
        <v>0.33</v>
      </c>
    </row>
    <row r="832" spans="3:14" x14ac:dyDescent="0.2">
      <c r="C832" t="s">
        <v>585</v>
      </c>
      <c r="D832">
        <v>0.05</v>
      </c>
      <c r="E832">
        <v>0.06</v>
      </c>
      <c r="F832">
        <v>7.0000000000000007E-2</v>
      </c>
      <c r="G832">
        <v>0.06</v>
      </c>
      <c r="H832">
        <v>0.09</v>
      </c>
      <c r="I832">
        <v>0.13</v>
      </c>
      <c r="J832">
        <v>0.16</v>
      </c>
      <c r="K832">
        <v>0.17</v>
      </c>
      <c r="L832">
        <v>0.17</v>
      </c>
      <c r="M832">
        <v>0.18</v>
      </c>
      <c r="N832">
        <v>0.18</v>
      </c>
    </row>
    <row r="833" spans="3:14" x14ac:dyDescent="0.2">
      <c r="C833" t="s">
        <v>586</v>
      </c>
      <c r="D833">
        <v>0.35</v>
      </c>
      <c r="E833">
        <v>0.44</v>
      </c>
      <c r="F833">
        <v>0.51</v>
      </c>
      <c r="G833">
        <v>0.52</v>
      </c>
      <c r="H833">
        <v>0.52</v>
      </c>
      <c r="I833">
        <v>0.54</v>
      </c>
      <c r="J833">
        <v>0.54</v>
      </c>
      <c r="K833">
        <v>0.54</v>
      </c>
      <c r="L833">
        <v>0.54</v>
      </c>
      <c r="M833">
        <v>0.54</v>
      </c>
      <c r="N833">
        <v>0.54</v>
      </c>
    </row>
    <row r="834" spans="3:14" x14ac:dyDescent="0.2">
      <c r="C834" t="s">
        <v>587</v>
      </c>
      <c r="D834">
        <v>0.02</v>
      </c>
      <c r="E834">
        <v>0.01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</row>
    <row r="835" spans="3:14" x14ac:dyDescent="0.2">
      <c r="C835" t="s">
        <v>588</v>
      </c>
      <c r="D835" s="20">
        <f t="shared" ref="D835:J835" si="73">D815+D818+D819+D823</f>
        <v>32.99</v>
      </c>
      <c r="E835" s="20">
        <f t="shared" si="73"/>
        <v>31.3</v>
      </c>
      <c r="F835" s="20">
        <f t="shared" si="73"/>
        <v>30.39</v>
      </c>
      <c r="G835" s="20">
        <f t="shared" si="73"/>
        <v>33.099999999999994</v>
      </c>
      <c r="H835" s="20">
        <f t="shared" si="73"/>
        <v>34.78</v>
      </c>
      <c r="I835" s="20">
        <f t="shared" si="73"/>
        <v>35.229999999999997</v>
      </c>
      <c r="J835" s="20">
        <f t="shared" si="73"/>
        <v>35.109999999999992</v>
      </c>
      <c r="K835" s="20">
        <f>K815+K819+K823</f>
        <v>38.5</v>
      </c>
      <c r="L835" s="20">
        <f>L815+L819+L823</f>
        <v>39.050000000000004</v>
      </c>
      <c r="M835" s="20">
        <f>M815+M819+M823</f>
        <v>40.020000000000003</v>
      </c>
      <c r="N835" s="20">
        <f>N815+N819+N823</f>
        <v>40.67</v>
      </c>
    </row>
    <row r="836" spans="3:14" x14ac:dyDescent="0.2">
      <c r="C836" t="s">
        <v>589</v>
      </c>
      <c r="D836">
        <v>-0.89</v>
      </c>
      <c r="E836">
        <v>-0.89</v>
      </c>
      <c r="F836">
        <v>-1.02</v>
      </c>
      <c r="G836">
        <v>-2.13</v>
      </c>
      <c r="H836">
        <v>-4.12</v>
      </c>
      <c r="I836">
        <v>-4.12</v>
      </c>
      <c r="J836">
        <v>-4.12</v>
      </c>
      <c r="K836">
        <v>-4.12</v>
      </c>
      <c r="L836">
        <v>-4.12</v>
      </c>
      <c r="M836">
        <v>-4.12</v>
      </c>
      <c r="N836">
        <v>-4.12</v>
      </c>
    </row>
    <row r="837" spans="3:14" x14ac:dyDescent="0.2">
      <c r="C837" s="14" t="s">
        <v>590</v>
      </c>
      <c r="D837" s="32">
        <f>D835+D836</f>
        <v>32.1</v>
      </c>
      <c r="E837" s="32">
        <f t="shared" ref="E837:N837" si="74">E835+E836</f>
        <v>30.41</v>
      </c>
      <c r="F837" s="32">
        <f t="shared" si="74"/>
        <v>29.37</v>
      </c>
      <c r="G837" s="32">
        <f t="shared" si="74"/>
        <v>30.969999999999995</v>
      </c>
      <c r="H837" s="32">
        <f t="shared" si="74"/>
        <v>30.66</v>
      </c>
      <c r="I837" s="32">
        <f t="shared" si="74"/>
        <v>31.109999999999996</v>
      </c>
      <c r="J837" s="32">
        <f t="shared" si="74"/>
        <v>30.989999999999991</v>
      </c>
      <c r="K837" s="32">
        <f t="shared" si="74"/>
        <v>34.380000000000003</v>
      </c>
      <c r="L837" s="32">
        <f t="shared" si="74"/>
        <v>34.930000000000007</v>
      </c>
      <c r="M837" s="32">
        <f t="shared" si="74"/>
        <v>35.900000000000006</v>
      </c>
      <c r="N837" s="32">
        <f t="shared" si="74"/>
        <v>36.550000000000004</v>
      </c>
    </row>
    <row r="838" spans="3:14" x14ac:dyDescent="0.2">
      <c r="C838" t="s">
        <v>591</v>
      </c>
      <c r="D838">
        <v>10.16</v>
      </c>
      <c r="E838">
        <v>9.76</v>
      </c>
      <c r="F838">
        <v>9.36</v>
      </c>
      <c r="G838">
        <v>9.36</v>
      </c>
      <c r="H838">
        <v>5.46</v>
      </c>
      <c r="I838">
        <v>4.57</v>
      </c>
      <c r="J838">
        <v>4.57</v>
      </c>
      <c r="K838">
        <v>1.42</v>
      </c>
      <c r="L838">
        <v>0.71</v>
      </c>
      <c r="M838" t="s">
        <v>3</v>
      </c>
      <c r="N838" t="s">
        <v>3</v>
      </c>
    </row>
    <row r="839" spans="3:14" x14ac:dyDescent="0.2">
      <c r="C839" t="s">
        <v>592</v>
      </c>
      <c r="D839">
        <v>10.16</v>
      </c>
      <c r="E839">
        <v>9.76</v>
      </c>
      <c r="F839">
        <v>9.36</v>
      </c>
      <c r="G839">
        <v>9.36</v>
      </c>
      <c r="H839">
        <v>5.46</v>
      </c>
      <c r="I839">
        <v>4.57</v>
      </c>
      <c r="J839">
        <v>4.57</v>
      </c>
      <c r="K839">
        <v>1.42</v>
      </c>
      <c r="L839">
        <v>0.71</v>
      </c>
      <c r="M839" t="s">
        <v>3</v>
      </c>
      <c r="N839" t="s">
        <v>3</v>
      </c>
    </row>
    <row r="840" spans="3:14" x14ac:dyDescent="0.2">
      <c r="C840" t="s">
        <v>593</v>
      </c>
      <c r="D840" t="s">
        <v>3</v>
      </c>
      <c r="E840" t="s">
        <v>3</v>
      </c>
      <c r="F840" t="s">
        <v>3</v>
      </c>
      <c r="G840" t="s">
        <v>3</v>
      </c>
      <c r="H840" t="s">
        <v>3</v>
      </c>
      <c r="I840" t="s">
        <v>3</v>
      </c>
      <c r="J840" t="s">
        <v>3</v>
      </c>
      <c r="K840" t="s">
        <v>3</v>
      </c>
      <c r="L840" t="s">
        <v>3</v>
      </c>
      <c r="M840" t="s">
        <v>3</v>
      </c>
      <c r="N840" t="s">
        <v>3</v>
      </c>
    </row>
    <row r="841" spans="3:14" x14ac:dyDescent="0.2">
      <c r="C841" t="s">
        <v>594</v>
      </c>
      <c r="D841">
        <v>11.67</v>
      </c>
      <c r="E841">
        <v>6.85</v>
      </c>
      <c r="F841">
        <v>4.0999999999999996</v>
      </c>
      <c r="G841">
        <v>4.82</v>
      </c>
      <c r="H841">
        <v>1.1299999999999999</v>
      </c>
      <c r="I841">
        <v>1.1299999999999999</v>
      </c>
      <c r="J841">
        <v>1.1200000000000001</v>
      </c>
      <c r="K841">
        <v>1.1299999999999999</v>
      </c>
      <c r="L841">
        <v>0.36</v>
      </c>
      <c r="M841">
        <v>0</v>
      </c>
      <c r="N841">
        <v>0</v>
      </c>
    </row>
    <row r="842" spans="3:14" x14ac:dyDescent="0.2">
      <c r="C842" t="s">
        <v>612</v>
      </c>
      <c r="D842">
        <v>1.47</v>
      </c>
      <c r="E842">
        <v>1.1299999999999999</v>
      </c>
      <c r="F842">
        <v>1.1299999999999999</v>
      </c>
      <c r="G842">
        <v>1.1299999999999999</v>
      </c>
      <c r="H842">
        <v>1.1299999999999999</v>
      </c>
      <c r="I842">
        <v>1.1299999999999999</v>
      </c>
      <c r="J842">
        <v>1.1299999999999999</v>
      </c>
      <c r="K842">
        <v>1.1299999999999999</v>
      </c>
      <c r="L842">
        <v>0.36</v>
      </c>
      <c r="M842" t="s">
        <v>3</v>
      </c>
      <c r="N842" t="s">
        <v>3</v>
      </c>
    </row>
    <row r="843" spans="3:14" x14ac:dyDescent="0.2">
      <c r="C843" t="s">
        <v>596</v>
      </c>
      <c r="D843">
        <v>10.199999999999999</v>
      </c>
      <c r="E843">
        <v>5.72</v>
      </c>
      <c r="F843">
        <v>2.97</v>
      </c>
      <c r="G843">
        <v>3.69</v>
      </c>
      <c r="H843">
        <v>0</v>
      </c>
      <c r="I843" t="s">
        <v>3</v>
      </c>
      <c r="J843">
        <v>0</v>
      </c>
      <c r="K843" t="s">
        <v>572</v>
      </c>
      <c r="L843" t="s">
        <v>3</v>
      </c>
      <c r="M843">
        <v>0</v>
      </c>
      <c r="N843">
        <v>0</v>
      </c>
    </row>
    <row r="844" spans="3:14" x14ac:dyDescent="0.2">
      <c r="C844" s="14" t="s">
        <v>597</v>
      </c>
      <c r="D844" s="32">
        <f>D838-D841</f>
        <v>-1.5099999999999998</v>
      </c>
      <c r="E844" s="32">
        <f t="shared" ref="E844:L844" si="75">E838-E841</f>
        <v>2.91</v>
      </c>
      <c r="F844" s="32">
        <f t="shared" si="75"/>
        <v>5.26</v>
      </c>
      <c r="G844" s="32">
        <f t="shared" si="75"/>
        <v>4.5399999999999991</v>
      </c>
      <c r="H844" s="32">
        <f t="shared" si="75"/>
        <v>4.33</v>
      </c>
      <c r="I844" s="32">
        <f t="shared" si="75"/>
        <v>3.4400000000000004</v>
      </c>
      <c r="J844" s="32">
        <f t="shared" si="75"/>
        <v>3.45</v>
      </c>
      <c r="K844" s="32">
        <f t="shared" si="75"/>
        <v>0.29000000000000004</v>
      </c>
      <c r="L844" s="32">
        <f t="shared" si="75"/>
        <v>0.35</v>
      </c>
      <c r="M844" s="32">
        <v>0</v>
      </c>
      <c r="N844" s="32">
        <v>0</v>
      </c>
    </row>
    <row r="845" spans="3:14" x14ac:dyDescent="0.2">
      <c r="C845" t="s">
        <v>598</v>
      </c>
      <c r="D845" s="20">
        <f>D837+D844</f>
        <v>30.590000000000003</v>
      </c>
      <c r="E845" s="20">
        <f t="shared" ref="E845:N845" si="76">E837+E844</f>
        <v>33.32</v>
      </c>
      <c r="F845" s="20">
        <f t="shared" si="76"/>
        <v>34.630000000000003</v>
      </c>
      <c r="G845" s="20">
        <f t="shared" si="76"/>
        <v>35.509999999999991</v>
      </c>
      <c r="H845" s="20">
        <f t="shared" si="76"/>
        <v>34.99</v>
      </c>
      <c r="I845" s="20">
        <f t="shared" si="76"/>
        <v>34.549999999999997</v>
      </c>
      <c r="J845" s="20">
        <f t="shared" si="76"/>
        <v>34.439999999999991</v>
      </c>
      <c r="K845" s="20">
        <f t="shared" si="76"/>
        <v>34.67</v>
      </c>
      <c r="L845" s="20">
        <f t="shared" si="76"/>
        <v>35.280000000000008</v>
      </c>
      <c r="M845" s="20">
        <f t="shared" si="76"/>
        <v>35.900000000000006</v>
      </c>
      <c r="N845" s="20">
        <f t="shared" si="76"/>
        <v>36.550000000000004</v>
      </c>
    </row>
    <row r="847" spans="3:14" x14ac:dyDescent="0.2">
      <c r="C847" t="s">
        <v>599</v>
      </c>
      <c r="D847">
        <v>32.950000000000003</v>
      </c>
      <c r="E847">
        <v>35.33</v>
      </c>
      <c r="F847">
        <v>36.770000000000003</v>
      </c>
      <c r="G847">
        <v>38.770000000000003</v>
      </c>
      <c r="H847">
        <v>40.25</v>
      </c>
      <c r="I847">
        <v>39.799999999999997</v>
      </c>
      <c r="J847">
        <v>39.68</v>
      </c>
      <c r="K847">
        <v>39.909999999999997</v>
      </c>
      <c r="L847">
        <v>39.76</v>
      </c>
      <c r="M847">
        <v>40.03</v>
      </c>
      <c r="N847">
        <v>40.67</v>
      </c>
    </row>
    <row r="853" spans="2:14" s="2" customFormat="1" ht="15" x14ac:dyDescent="0.25">
      <c r="C853" s="9" t="s">
        <v>656</v>
      </c>
      <c r="D853" s="2" t="s">
        <v>653</v>
      </c>
    </row>
    <row r="854" spans="2:14" s="2" customFormat="1" ht="15" x14ac:dyDescent="0.25">
      <c r="B854" s="2" t="s">
        <v>614</v>
      </c>
    </row>
    <row r="855" spans="2:14" s="2" customFormat="1" ht="15" x14ac:dyDescent="0.25">
      <c r="B855" s="13" t="s">
        <v>615</v>
      </c>
      <c r="D855" s="2">
        <v>2000</v>
      </c>
      <c r="E855" s="2">
        <v>2005</v>
      </c>
      <c r="F855" s="2">
        <v>2010</v>
      </c>
      <c r="G855" s="2">
        <v>2015</v>
      </c>
      <c r="H855" s="2">
        <v>2020</v>
      </c>
      <c r="I855" s="2">
        <v>2025</v>
      </c>
      <c r="J855" s="2">
        <v>2030</v>
      </c>
      <c r="K855" s="2">
        <v>2035</v>
      </c>
      <c r="L855" s="2">
        <v>2040</v>
      </c>
      <c r="M855" s="2">
        <v>2045</v>
      </c>
      <c r="N855" s="2">
        <v>2050</v>
      </c>
    </row>
    <row r="856" spans="2:14" x14ac:dyDescent="0.2">
      <c r="C856" t="s">
        <v>568</v>
      </c>
      <c r="D856">
        <v>20.67</v>
      </c>
      <c r="E856">
        <v>18.78</v>
      </c>
      <c r="F856">
        <v>21.26</v>
      </c>
      <c r="G856">
        <v>21.77</v>
      </c>
      <c r="H856">
        <v>22.68</v>
      </c>
      <c r="I856">
        <v>22.61</v>
      </c>
      <c r="J856">
        <v>22.52</v>
      </c>
      <c r="K856">
        <v>22.34</v>
      </c>
      <c r="L856">
        <v>22.24</v>
      </c>
      <c r="M856">
        <v>21.92</v>
      </c>
      <c r="N856">
        <v>21.71</v>
      </c>
    </row>
    <row r="857" spans="2:14" x14ac:dyDescent="0.2">
      <c r="C857" t="s">
        <v>602</v>
      </c>
      <c r="D857">
        <v>20.67</v>
      </c>
      <c r="E857">
        <v>18.78</v>
      </c>
      <c r="F857">
        <v>21.26</v>
      </c>
      <c r="G857">
        <v>21</v>
      </c>
      <c r="H857">
        <v>20.78</v>
      </c>
      <c r="I857">
        <v>20.58</v>
      </c>
      <c r="J857">
        <v>20.37</v>
      </c>
      <c r="K857">
        <v>20.07</v>
      </c>
      <c r="L857">
        <v>19.82</v>
      </c>
      <c r="M857">
        <v>19.32</v>
      </c>
      <c r="N857">
        <v>18.95</v>
      </c>
    </row>
    <row r="858" spans="2:14" x14ac:dyDescent="0.2">
      <c r="C858" t="s">
        <v>603</v>
      </c>
      <c r="D858" t="s">
        <v>572</v>
      </c>
      <c r="E858" t="s">
        <v>3</v>
      </c>
      <c r="F858" t="s">
        <v>3</v>
      </c>
      <c r="G858">
        <v>0.76</v>
      </c>
      <c r="H858">
        <v>1.89</v>
      </c>
      <c r="I858">
        <v>2.0299999999999998</v>
      </c>
      <c r="J858">
        <v>2.15</v>
      </c>
      <c r="K858">
        <v>2.27</v>
      </c>
      <c r="L858">
        <v>2.42</v>
      </c>
      <c r="M858">
        <v>2.61</v>
      </c>
      <c r="N858">
        <v>2.77</v>
      </c>
    </row>
    <row r="859" spans="2:14" x14ac:dyDescent="0.2">
      <c r="C859" t="s">
        <v>571</v>
      </c>
      <c r="D859">
        <v>11.01</v>
      </c>
      <c r="E859">
        <v>7.97</v>
      </c>
      <c r="F859">
        <v>10.96</v>
      </c>
      <c r="G859">
        <v>11.08</v>
      </c>
      <c r="H859">
        <v>9.77</v>
      </c>
      <c r="I859">
        <v>7.21</v>
      </c>
      <c r="J859">
        <v>3.97</v>
      </c>
      <c r="K859" t="s">
        <v>3</v>
      </c>
      <c r="L859" t="s">
        <v>3</v>
      </c>
      <c r="M859" t="s">
        <v>3</v>
      </c>
      <c r="N859" t="s">
        <v>3</v>
      </c>
    </row>
    <row r="860" spans="2:14" x14ac:dyDescent="0.2">
      <c r="C860" t="s">
        <v>604</v>
      </c>
      <c r="D860">
        <v>0.67</v>
      </c>
      <c r="E860">
        <v>0.82</v>
      </c>
      <c r="F860">
        <v>0.88</v>
      </c>
      <c r="G860">
        <v>1.04</v>
      </c>
      <c r="H860">
        <v>1.1599999999999999</v>
      </c>
      <c r="I860">
        <v>1.19</v>
      </c>
      <c r="J860">
        <v>1.23</v>
      </c>
      <c r="K860">
        <v>6</v>
      </c>
      <c r="L860">
        <v>5.41</v>
      </c>
      <c r="M860">
        <v>5.37</v>
      </c>
      <c r="N860">
        <v>5.01</v>
      </c>
    </row>
    <row r="861" spans="2:14" x14ac:dyDescent="0.2">
      <c r="C861" t="s">
        <v>605</v>
      </c>
      <c r="D861">
        <v>0.67</v>
      </c>
      <c r="E861">
        <v>0.82</v>
      </c>
      <c r="F861">
        <v>0.88</v>
      </c>
      <c r="G861">
        <v>0.71</v>
      </c>
      <c r="H861">
        <v>0.62</v>
      </c>
      <c r="I861">
        <v>0.38</v>
      </c>
      <c r="J861">
        <v>0.24</v>
      </c>
      <c r="K861">
        <v>0.14000000000000001</v>
      </c>
      <c r="L861" t="s">
        <v>3</v>
      </c>
      <c r="M861" t="s">
        <v>3</v>
      </c>
      <c r="N861" t="s">
        <v>3</v>
      </c>
    </row>
    <row r="862" spans="2:14" x14ac:dyDescent="0.2">
      <c r="C862" t="s">
        <v>606</v>
      </c>
      <c r="D862" t="s">
        <v>3</v>
      </c>
      <c r="E862" t="s">
        <v>3</v>
      </c>
      <c r="F862" t="s">
        <v>3</v>
      </c>
      <c r="G862" t="s">
        <v>3</v>
      </c>
      <c r="H862" t="s">
        <v>3</v>
      </c>
      <c r="I862" t="s">
        <v>3</v>
      </c>
      <c r="J862" t="s">
        <v>3</v>
      </c>
      <c r="K862">
        <v>4.78</v>
      </c>
      <c r="L862">
        <v>4.25</v>
      </c>
      <c r="M862">
        <v>4.21</v>
      </c>
      <c r="N862">
        <v>3.86</v>
      </c>
    </row>
    <row r="863" spans="2:14" x14ac:dyDescent="0.2">
      <c r="C863" t="s">
        <v>607</v>
      </c>
      <c r="D863" t="s">
        <v>3</v>
      </c>
      <c r="E863" t="s">
        <v>3</v>
      </c>
      <c r="F863" t="s">
        <v>3</v>
      </c>
      <c r="G863">
        <v>0.34</v>
      </c>
      <c r="H863">
        <v>0.54</v>
      </c>
      <c r="I863">
        <v>0.8</v>
      </c>
      <c r="J863">
        <v>0.99</v>
      </c>
      <c r="K863">
        <v>1.08</v>
      </c>
      <c r="L863">
        <v>1.1599999999999999</v>
      </c>
      <c r="M863">
        <v>1.1599999999999999</v>
      </c>
      <c r="N863">
        <v>1.1599999999999999</v>
      </c>
    </row>
    <row r="864" spans="2:14" x14ac:dyDescent="0.2">
      <c r="C864" t="s">
        <v>608</v>
      </c>
      <c r="D864">
        <v>0.36</v>
      </c>
      <c r="E864">
        <v>0.45</v>
      </c>
      <c r="F864">
        <v>0.62</v>
      </c>
      <c r="G864">
        <v>0.82</v>
      </c>
      <c r="H864">
        <v>1.08</v>
      </c>
      <c r="I864">
        <v>1.46</v>
      </c>
      <c r="J864">
        <v>2.0499999999999998</v>
      </c>
      <c r="K864">
        <v>3.32</v>
      </c>
      <c r="L864">
        <v>4.13</v>
      </c>
      <c r="M864">
        <v>5.16</v>
      </c>
      <c r="N864">
        <v>6.09</v>
      </c>
    </row>
    <row r="865" spans="3:14" x14ac:dyDescent="0.2">
      <c r="C865" t="s">
        <v>609</v>
      </c>
      <c r="D865">
        <v>0.36</v>
      </c>
      <c r="E865">
        <v>0.45</v>
      </c>
      <c r="F865">
        <v>0.62</v>
      </c>
      <c r="G865">
        <v>0.47</v>
      </c>
      <c r="H865">
        <v>0.42</v>
      </c>
      <c r="I865">
        <v>0.32</v>
      </c>
      <c r="J865">
        <v>0.19</v>
      </c>
      <c r="K865">
        <v>0.04</v>
      </c>
      <c r="L865">
        <v>0</v>
      </c>
      <c r="M865" t="s">
        <v>3</v>
      </c>
      <c r="N865" t="s">
        <v>3</v>
      </c>
    </row>
    <row r="866" spans="3:14" x14ac:dyDescent="0.2">
      <c r="C866" t="s">
        <v>610</v>
      </c>
      <c r="D866" t="s">
        <v>3</v>
      </c>
      <c r="E866" t="s">
        <v>3</v>
      </c>
      <c r="F866" t="s">
        <v>3</v>
      </c>
      <c r="G866">
        <v>0.36</v>
      </c>
      <c r="H866">
        <v>0.66</v>
      </c>
      <c r="I866">
        <v>1.1399999999999999</v>
      </c>
      <c r="J866">
        <v>1.86</v>
      </c>
      <c r="K866">
        <v>3.27</v>
      </c>
      <c r="L866">
        <v>4.12</v>
      </c>
      <c r="M866">
        <v>5.16</v>
      </c>
      <c r="N866">
        <v>6.09</v>
      </c>
    </row>
    <row r="867" spans="3:14" x14ac:dyDescent="0.2">
      <c r="C867" t="s">
        <v>580</v>
      </c>
      <c r="D867">
        <v>0.01</v>
      </c>
      <c r="E867">
        <v>0.01</v>
      </c>
      <c r="F867">
        <v>0.06</v>
      </c>
      <c r="G867">
        <v>0.15</v>
      </c>
      <c r="H867">
        <v>0.25</v>
      </c>
      <c r="I867">
        <v>0.4</v>
      </c>
      <c r="J867">
        <v>0.7</v>
      </c>
      <c r="K867">
        <v>1.84</v>
      </c>
      <c r="L867">
        <v>2.54</v>
      </c>
      <c r="M867">
        <v>3.45</v>
      </c>
      <c r="N867">
        <v>4.32</v>
      </c>
    </row>
    <row r="868" spans="3:14" x14ac:dyDescent="0.2">
      <c r="C868" t="s">
        <v>581</v>
      </c>
      <c r="D868">
        <v>0</v>
      </c>
      <c r="E868">
        <v>0</v>
      </c>
      <c r="F868">
        <v>0.01</v>
      </c>
      <c r="G868">
        <v>0.04</v>
      </c>
      <c r="H868">
        <v>0.06</v>
      </c>
      <c r="I868">
        <v>0.1</v>
      </c>
      <c r="J868">
        <v>0.23</v>
      </c>
      <c r="K868">
        <v>0.31</v>
      </c>
      <c r="L868">
        <v>0.41</v>
      </c>
      <c r="M868">
        <v>0.5</v>
      </c>
      <c r="N868">
        <v>0.56000000000000005</v>
      </c>
    </row>
    <row r="869" spans="3:14" x14ac:dyDescent="0.2">
      <c r="C869" t="s">
        <v>582</v>
      </c>
      <c r="D869" t="s">
        <v>3</v>
      </c>
      <c r="E869" t="s">
        <v>3</v>
      </c>
      <c r="F869" t="s">
        <v>3</v>
      </c>
      <c r="G869" t="s">
        <v>3</v>
      </c>
      <c r="H869" t="s">
        <v>3</v>
      </c>
      <c r="I869" t="s">
        <v>3</v>
      </c>
      <c r="J869" t="s">
        <v>3</v>
      </c>
      <c r="K869" t="s">
        <v>3</v>
      </c>
      <c r="L869" t="s">
        <v>3</v>
      </c>
      <c r="M869" t="s">
        <v>3</v>
      </c>
      <c r="N869" t="s">
        <v>3</v>
      </c>
    </row>
    <row r="870" spans="3:14" x14ac:dyDescent="0.2">
      <c r="C870" t="s">
        <v>47</v>
      </c>
      <c r="D870" t="s">
        <v>3</v>
      </c>
      <c r="E870" t="s">
        <v>3</v>
      </c>
      <c r="F870" t="s">
        <v>3</v>
      </c>
      <c r="G870">
        <v>0.02</v>
      </c>
      <c r="H870">
        <v>0.05</v>
      </c>
      <c r="I870">
        <v>0.1</v>
      </c>
      <c r="J870">
        <v>0.16</v>
      </c>
      <c r="K870">
        <v>0.2</v>
      </c>
      <c r="L870">
        <v>0.2</v>
      </c>
      <c r="M870">
        <v>0.21</v>
      </c>
      <c r="N870">
        <v>0.21</v>
      </c>
    </row>
    <row r="871" spans="3:14" x14ac:dyDescent="0.2">
      <c r="C871" t="s">
        <v>583</v>
      </c>
      <c r="D871">
        <v>0.01</v>
      </c>
      <c r="E871">
        <v>0.01</v>
      </c>
      <c r="F871">
        <v>0.04</v>
      </c>
      <c r="G871">
        <v>0.09</v>
      </c>
      <c r="H871">
        <v>0.13</v>
      </c>
      <c r="I871">
        <v>0.18</v>
      </c>
      <c r="J871">
        <v>0.23</v>
      </c>
      <c r="K871">
        <v>0.22</v>
      </c>
      <c r="L871">
        <v>0.23</v>
      </c>
      <c r="M871">
        <v>0.23</v>
      </c>
      <c r="N871">
        <v>0.23</v>
      </c>
    </row>
    <row r="872" spans="3:14" x14ac:dyDescent="0.2">
      <c r="C872" t="s">
        <v>584</v>
      </c>
      <c r="D872">
        <v>0</v>
      </c>
      <c r="E872">
        <v>0.01</v>
      </c>
      <c r="F872">
        <v>0.03</v>
      </c>
      <c r="G872">
        <v>0.06</v>
      </c>
      <c r="H872">
        <v>0.1</v>
      </c>
      <c r="I872">
        <v>0.14000000000000001</v>
      </c>
      <c r="J872">
        <v>0.18</v>
      </c>
      <c r="K872">
        <v>0.19</v>
      </c>
      <c r="L872">
        <v>0.19</v>
      </c>
      <c r="M872">
        <v>0.2</v>
      </c>
      <c r="N872">
        <v>0.2</v>
      </c>
    </row>
    <row r="873" spans="3:14" x14ac:dyDescent="0.2">
      <c r="C873" t="s">
        <v>585</v>
      </c>
      <c r="D873">
        <v>0.04</v>
      </c>
      <c r="E873">
        <v>0.04</v>
      </c>
      <c r="F873">
        <v>0.05</v>
      </c>
      <c r="G873">
        <v>0.04</v>
      </c>
      <c r="H873">
        <v>7.0000000000000007E-2</v>
      </c>
      <c r="I873">
        <v>0.09</v>
      </c>
      <c r="J873">
        <v>0.11</v>
      </c>
      <c r="K873">
        <v>0.12</v>
      </c>
      <c r="L873">
        <v>0.12</v>
      </c>
      <c r="M873">
        <v>0.12</v>
      </c>
      <c r="N873">
        <v>0.12</v>
      </c>
    </row>
    <row r="874" spans="3:14" x14ac:dyDescent="0.2">
      <c r="C874" t="s">
        <v>586</v>
      </c>
      <c r="D874">
        <v>0.28999999999999998</v>
      </c>
      <c r="E874">
        <v>0.36</v>
      </c>
      <c r="F874">
        <v>0.41</v>
      </c>
      <c r="G874">
        <v>0.42</v>
      </c>
      <c r="H874">
        <v>0.42</v>
      </c>
      <c r="I874">
        <v>0.44</v>
      </c>
      <c r="J874">
        <v>0.44</v>
      </c>
      <c r="K874">
        <v>0.44</v>
      </c>
      <c r="L874">
        <v>0.44</v>
      </c>
      <c r="M874">
        <v>0.44</v>
      </c>
      <c r="N874">
        <v>0.44</v>
      </c>
    </row>
    <row r="875" spans="3:14" x14ac:dyDescent="0.2">
      <c r="C875" t="s">
        <v>587</v>
      </c>
      <c r="D875">
        <v>0.02</v>
      </c>
      <c r="E875">
        <v>0.01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</row>
    <row r="876" spans="3:14" x14ac:dyDescent="0.2">
      <c r="C876" t="s">
        <v>588</v>
      </c>
      <c r="D876" s="20">
        <f t="shared" ref="D876:J876" si="77">D856+D859+D860+D864</f>
        <v>32.71</v>
      </c>
      <c r="E876" s="20">
        <f t="shared" si="77"/>
        <v>28.02</v>
      </c>
      <c r="F876" s="20">
        <f t="shared" si="77"/>
        <v>33.72</v>
      </c>
      <c r="G876" s="20">
        <f t="shared" si="77"/>
        <v>34.71</v>
      </c>
      <c r="H876" s="20">
        <f t="shared" si="77"/>
        <v>34.69</v>
      </c>
      <c r="I876" s="20">
        <f t="shared" si="77"/>
        <v>32.47</v>
      </c>
      <c r="J876" s="20">
        <f t="shared" si="77"/>
        <v>29.77</v>
      </c>
      <c r="K876" s="20">
        <f>K856+K860+K864</f>
        <v>31.66</v>
      </c>
      <c r="L876" s="20">
        <f>L856+L860+L864</f>
        <v>31.779999999999998</v>
      </c>
      <c r="M876" s="20">
        <f>M856+M860+M864</f>
        <v>32.450000000000003</v>
      </c>
      <c r="N876" s="20">
        <f>N856+N860+N864</f>
        <v>32.81</v>
      </c>
    </row>
    <row r="877" spans="3:14" x14ac:dyDescent="0.2">
      <c r="C877" t="s">
        <v>589</v>
      </c>
      <c r="D877">
        <v>-1.33</v>
      </c>
      <c r="E877">
        <v>-1.33</v>
      </c>
      <c r="F877">
        <v>-1.53</v>
      </c>
      <c r="G877">
        <v>-2.21</v>
      </c>
      <c r="H877">
        <v>-3.42</v>
      </c>
      <c r="I877">
        <v>-3.42</v>
      </c>
      <c r="J877">
        <v>-3.42</v>
      </c>
      <c r="K877">
        <v>-3.42</v>
      </c>
      <c r="L877">
        <v>-3.42</v>
      </c>
      <c r="M877">
        <v>-3.42</v>
      </c>
      <c r="N877">
        <v>-3.42</v>
      </c>
    </row>
    <row r="878" spans="3:14" x14ac:dyDescent="0.2">
      <c r="C878" s="14" t="s">
        <v>590</v>
      </c>
      <c r="D878" s="32">
        <f>D876+D877</f>
        <v>31.380000000000003</v>
      </c>
      <c r="E878" s="32">
        <f t="shared" ref="E878:N878" si="78">E876+E877</f>
        <v>26.689999999999998</v>
      </c>
      <c r="F878" s="32">
        <f t="shared" si="78"/>
        <v>32.19</v>
      </c>
      <c r="G878" s="32">
        <f t="shared" si="78"/>
        <v>32.5</v>
      </c>
      <c r="H878" s="32">
        <f t="shared" si="78"/>
        <v>31.269999999999996</v>
      </c>
      <c r="I878" s="32">
        <f t="shared" si="78"/>
        <v>29.049999999999997</v>
      </c>
      <c r="J878" s="32">
        <f t="shared" si="78"/>
        <v>26.35</v>
      </c>
      <c r="K878" s="32">
        <f t="shared" si="78"/>
        <v>28.240000000000002</v>
      </c>
      <c r="L878" s="32">
        <f t="shared" si="78"/>
        <v>28.36</v>
      </c>
      <c r="M878" s="32">
        <f t="shared" si="78"/>
        <v>29.03</v>
      </c>
      <c r="N878" s="32">
        <f t="shared" si="78"/>
        <v>29.39</v>
      </c>
    </row>
    <row r="879" spans="3:14" x14ac:dyDescent="0.2">
      <c r="C879" t="s">
        <v>591</v>
      </c>
      <c r="D879">
        <v>8.56</v>
      </c>
      <c r="E879">
        <v>8.2200000000000006</v>
      </c>
      <c r="F879">
        <v>7.88</v>
      </c>
      <c r="G879">
        <v>7.88</v>
      </c>
      <c r="H879">
        <v>4.5999999999999996</v>
      </c>
      <c r="I879">
        <v>3.85</v>
      </c>
      <c r="J879">
        <v>3.85</v>
      </c>
      <c r="K879">
        <v>1.19</v>
      </c>
      <c r="L879">
        <v>0.6</v>
      </c>
      <c r="M879" t="s">
        <v>3</v>
      </c>
      <c r="N879" t="s">
        <v>3</v>
      </c>
    </row>
    <row r="880" spans="3:14" x14ac:dyDescent="0.2">
      <c r="C880" t="s">
        <v>592</v>
      </c>
      <c r="D880">
        <v>8.56</v>
      </c>
      <c r="E880">
        <v>8.2200000000000006</v>
      </c>
      <c r="F880">
        <v>7.88</v>
      </c>
      <c r="G880">
        <v>7.88</v>
      </c>
      <c r="H880">
        <v>4.5999999999999996</v>
      </c>
      <c r="I880">
        <v>3.85</v>
      </c>
      <c r="J880">
        <v>3.85</v>
      </c>
      <c r="K880">
        <v>1.19</v>
      </c>
      <c r="L880">
        <v>0.6</v>
      </c>
      <c r="M880" t="s">
        <v>3</v>
      </c>
      <c r="N880" t="s">
        <v>3</v>
      </c>
    </row>
    <row r="881" spans="3:14" x14ac:dyDescent="0.2">
      <c r="C881" t="s">
        <v>593</v>
      </c>
      <c r="D881" t="s">
        <v>3</v>
      </c>
      <c r="E881" t="s">
        <v>3</v>
      </c>
      <c r="F881" t="s">
        <v>3</v>
      </c>
      <c r="G881" t="s">
        <v>3</v>
      </c>
      <c r="H881" t="s">
        <v>3</v>
      </c>
      <c r="I881" t="s">
        <v>3</v>
      </c>
      <c r="J881" t="s">
        <v>3</v>
      </c>
      <c r="K881" t="s">
        <v>3</v>
      </c>
      <c r="L881" t="s">
        <v>3</v>
      </c>
      <c r="M881" t="s">
        <v>3</v>
      </c>
      <c r="N881" t="s">
        <v>3</v>
      </c>
    </row>
    <row r="882" spans="3:14" x14ac:dyDescent="0.2">
      <c r="C882" t="s">
        <v>594</v>
      </c>
      <c r="D882">
        <v>14.39</v>
      </c>
      <c r="E882">
        <v>6.9</v>
      </c>
      <c r="F882">
        <v>11.09</v>
      </c>
      <c r="G882">
        <v>10.82</v>
      </c>
      <c r="H882">
        <v>6.86</v>
      </c>
      <c r="I882">
        <v>4.4000000000000004</v>
      </c>
      <c r="J882">
        <v>1.95</v>
      </c>
      <c r="K882">
        <v>1.1399999999999999</v>
      </c>
      <c r="L882">
        <v>0.3</v>
      </c>
      <c r="M882" t="s">
        <v>3</v>
      </c>
      <c r="N882" t="s">
        <v>3</v>
      </c>
    </row>
    <row r="883" spans="3:14" x14ac:dyDescent="0.2">
      <c r="C883" t="s">
        <v>612</v>
      </c>
      <c r="D883">
        <v>1.35</v>
      </c>
      <c r="E883">
        <v>1.1399999999999999</v>
      </c>
      <c r="F883">
        <v>1.1399999999999999</v>
      </c>
      <c r="G883">
        <v>1.1399999999999999</v>
      </c>
      <c r="H883">
        <v>1.1399999999999999</v>
      </c>
      <c r="I883">
        <v>1.1399999999999999</v>
      </c>
      <c r="J883">
        <v>1.1399999999999999</v>
      </c>
      <c r="K883">
        <v>1.1399999999999999</v>
      </c>
      <c r="L883">
        <v>0.3</v>
      </c>
      <c r="M883" t="s">
        <v>3</v>
      </c>
      <c r="N883" t="s">
        <v>3</v>
      </c>
    </row>
    <row r="884" spans="3:14" x14ac:dyDescent="0.2">
      <c r="C884" t="s">
        <v>596</v>
      </c>
      <c r="D884">
        <v>13.04</v>
      </c>
      <c r="E884">
        <v>5.76</v>
      </c>
      <c r="F884">
        <v>9.9600000000000009</v>
      </c>
      <c r="G884">
        <v>9.69</v>
      </c>
      <c r="H884">
        <v>5.73</v>
      </c>
      <c r="I884">
        <v>3.27</v>
      </c>
      <c r="J884">
        <v>0.81</v>
      </c>
      <c r="K884">
        <v>0</v>
      </c>
      <c r="L884">
        <v>0</v>
      </c>
      <c r="M884" t="s">
        <v>572</v>
      </c>
      <c r="N884" t="s">
        <v>3</v>
      </c>
    </row>
    <row r="885" spans="3:14" x14ac:dyDescent="0.2">
      <c r="C885" s="14" t="s">
        <v>597</v>
      </c>
      <c r="D885" s="32">
        <f>D879-D882</f>
        <v>-5.83</v>
      </c>
      <c r="E885" s="32">
        <f t="shared" ref="E885:L885" si="79">E879-E882</f>
        <v>1.3200000000000003</v>
      </c>
      <c r="F885" s="32">
        <f t="shared" si="79"/>
        <v>-3.21</v>
      </c>
      <c r="G885" s="32">
        <f t="shared" si="79"/>
        <v>-2.9400000000000004</v>
      </c>
      <c r="H885" s="32">
        <f t="shared" si="79"/>
        <v>-2.2600000000000007</v>
      </c>
      <c r="I885" s="32">
        <f t="shared" si="79"/>
        <v>-0.55000000000000027</v>
      </c>
      <c r="J885" s="32">
        <f t="shared" si="79"/>
        <v>1.9000000000000001</v>
      </c>
      <c r="K885" s="32">
        <f t="shared" si="79"/>
        <v>5.0000000000000044E-2</v>
      </c>
      <c r="L885" s="32">
        <f t="shared" si="79"/>
        <v>0.3</v>
      </c>
      <c r="M885" s="32">
        <v>0</v>
      </c>
      <c r="N885" s="32">
        <v>0</v>
      </c>
    </row>
    <row r="886" spans="3:14" x14ac:dyDescent="0.2">
      <c r="C886" t="s">
        <v>598</v>
      </c>
      <c r="D886" s="20">
        <f>D878+D885</f>
        <v>25.550000000000004</v>
      </c>
      <c r="E886" s="20">
        <f t="shared" ref="E886:N886" si="80">E878+E885</f>
        <v>28.009999999999998</v>
      </c>
      <c r="F886" s="20">
        <f t="shared" si="80"/>
        <v>28.979999999999997</v>
      </c>
      <c r="G886" s="20">
        <f t="shared" si="80"/>
        <v>29.56</v>
      </c>
      <c r="H886" s="20">
        <f t="shared" si="80"/>
        <v>29.009999999999994</v>
      </c>
      <c r="I886" s="20">
        <f t="shared" si="80"/>
        <v>28.499999999999996</v>
      </c>
      <c r="J886" s="20">
        <f t="shared" si="80"/>
        <v>28.25</v>
      </c>
      <c r="K886" s="20">
        <f t="shared" si="80"/>
        <v>28.290000000000003</v>
      </c>
      <c r="L886" s="20">
        <f t="shared" si="80"/>
        <v>28.66</v>
      </c>
      <c r="M886" s="20">
        <f t="shared" si="80"/>
        <v>29.03</v>
      </c>
      <c r="N886" s="20">
        <f t="shared" si="80"/>
        <v>29.39</v>
      </c>
    </row>
    <row r="888" spans="3:14" x14ac:dyDescent="0.2">
      <c r="C888" t="s">
        <v>599</v>
      </c>
      <c r="D888">
        <v>28.23</v>
      </c>
      <c r="E888">
        <v>30.48</v>
      </c>
      <c r="F888">
        <v>31.64</v>
      </c>
      <c r="G888">
        <v>32.909999999999997</v>
      </c>
      <c r="H888">
        <v>33.56</v>
      </c>
      <c r="I888">
        <v>33.04</v>
      </c>
      <c r="J888">
        <v>32.799999999999997</v>
      </c>
      <c r="K888">
        <v>32.86</v>
      </c>
      <c r="L888">
        <v>32.369999999999997</v>
      </c>
      <c r="M888">
        <v>32.450000000000003</v>
      </c>
      <c r="N888">
        <v>32.82</v>
      </c>
    </row>
    <row r="891" spans="3:14" s="2" customFormat="1" ht="15" x14ac:dyDescent="0.25">
      <c r="C891" s="2" t="s">
        <v>616</v>
      </c>
    </row>
    <row r="892" spans="3:14" s="2" customFormat="1" ht="15" x14ac:dyDescent="0.25"/>
    <row r="893" spans="3:14" s="2" customFormat="1" ht="15" x14ac:dyDescent="0.25">
      <c r="C893" s="9" t="s">
        <v>657</v>
      </c>
      <c r="D893" s="2" t="s">
        <v>653</v>
      </c>
    </row>
    <row r="894" spans="3:14" s="2" customFormat="1" ht="15" x14ac:dyDescent="0.25">
      <c r="C894" s="2" t="s">
        <v>618</v>
      </c>
    </row>
    <row r="895" spans="3:14" s="2" customFormat="1" ht="15" x14ac:dyDescent="0.25">
      <c r="D895" s="2">
        <v>2000</v>
      </c>
      <c r="E895" s="2">
        <v>2005</v>
      </c>
      <c r="F895" s="2">
        <v>2010</v>
      </c>
      <c r="G895" s="2">
        <v>2015</v>
      </c>
      <c r="H895" s="2">
        <v>2020</v>
      </c>
      <c r="I895" s="2">
        <v>2025</v>
      </c>
      <c r="J895" s="2">
        <v>2030</v>
      </c>
      <c r="K895" s="2">
        <v>2035</v>
      </c>
      <c r="L895" s="2">
        <v>2040</v>
      </c>
      <c r="M895" s="2">
        <v>2045</v>
      </c>
      <c r="N895" s="2">
        <v>2050</v>
      </c>
    </row>
    <row r="896" spans="3:14" x14ac:dyDescent="0.2">
      <c r="C896" t="s">
        <v>619</v>
      </c>
      <c r="D896">
        <v>2.9</v>
      </c>
      <c r="E896">
        <v>2.2000000000000002</v>
      </c>
      <c r="F896">
        <v>2.2000000000000002</v>
      </c>
      <c r="G896">
        <v>2.7</v>
      </c>
      <c r="H896">
        <v>2.7</v>
      </c>
      <c r="I896">
        <v>2.9</v>
      </c>
      <c r="J896">
        <v>3</v>
      </c>
      <c r="K896">
        <v>2.4</v>
      </c>
      <c r="L896">
        <v>2.4</v>
      </c>
      <c r="M896">
        <v>2.4</v>
      </c>
      <c r="N896">
        <v>2.4</v>
      </c>
    </row>
    <row r="897" spans="3:14" x14ac:dyDescent="0.2">
      <c r="C897" t="s">
        <v>332</v>
      </c>
      <c r="D897">
        <v>10.9</v>
      </c>
      <c r="E897">
        <v>11.7</v>
      </c>
      <c r="F897">
        <v>11.6</v>
      </c>
      <c r="G897">
        <v>15.9</v>
      </c>
      <c r="H897">
        <v>24.5</v>
      </c>
      <c r="I897">
        <v>42</v>
      </c>
      <c r="J897">
        <v>60.7</v>
      </c>
      <c r="K897">
        <v>131.4</v>
      </c>
      <c r="L897">
        <v>126.7</v>
      </c>
      <c r="M897">
        <v>128.80000000000001</v>
      </c>
      <c r="N897">
        <v>126</v>
      </c>
    </row>
    <row r="898" spans="3:14" x14ac:dyDescent="0.2">
      <c r="C898" t="s">
        <v>101</v>
      </c>
      <c r="D898">
        <v>2.2000000000000002</v>
      </c>
      <c r="E898">
        <v>2.7</v>
      </c>
      <c r="F898">
        <v>5.9</v>
      </c>
      <c r="G898">
        <v>10</v>
      </c>
      <c r="H898">
        <v>14</v>
      </c>
      <c r="I898">
        <v>18.7</v>
      </c>
      <c r="J898">
        <v>21.9</v>
      </c>
      <c r="K898">
        <v>20.8</v>
      </c>
      <c r="L898">
        <v>20.5</v>
      </c>
      <c r="M898">
        <v>19.899999999999999</v>
      </c>
      <c r="N898">
        <v>19</v>
      </c>
    </row>
    <row r="899" spans="3:14" x14ac:dyDescent="0.2">
      <c r="C899" t="s">
        <v>620</v>
      </c>
      <c r="D899">
        <v>42.3</v>
      </c>
      <c r="E899">
        <v>51.8</v>
      </c>
      <c r="F899">
        <v>56.6</v>
      </c>
      <c r="G899">
        <v>46.6</v>
      </c>
      <c r="H899">
        <v>45.9</v>
      </c>
      <c r="I899">
        <v>44.2</v>
      </c>
      <c r="J899">
        <v>42.7</v>
      </c>
      <c r="K899">
        <v>42</v>
      </c>
      <c r="L899">
        <v>41.6</v>
      </c>
      <c r="M899">
        <v>39.700000000000003</v>
      </c>
      <c r="N899">
        <v>39.5</v>
      </c>
    </row>
    <row r="900" spans="3:14" x14ac:dyDescent="0.2">
      <c r="C900" t="s">
        <v>621</v>
      </c>
      <c r="D900">
        <v>261.89999999999998</v>
      </c>
      <c r="E900">
        <v>233</v>
      </c>
      <c r="F900">
        <v>266.10000000000002</v>
      </c>
      <c r="G900">
        <v>260.10000000000002</v>
      </c>
      <c r="H900">
        <v>228.6</v>
      </c>
      <c r="I900">
        <v>166.6</v>
      </c>
      <c r="J900">
        <v>90.6</v>
      </c>
      <c r="K900">
        <v>0</v>
      </c>
      <c r="L900">
        <v>0</v>
      </c>
      <c r="M900">
        <v>0</v>
      </c>
      <c r="N900">
        <v>0</v>
      </c>
    </row>
    <row r="901" spans="3:14" x14ac:dyDescent="0.2">
      <c r="C901" t="s">
        <v>132</v>
      </c>
      <c r="D901">
        <v>138.19999999999999</v>
      </c>
      <c r="E901">
        <v>123.6</v>
      </c>
      <c r="F901">
        <v>127.5</v>
      </c>
      <c r="G901">
        <v>139.5</v>
      </c>
      <c r="H901">
        <v>149.30000000000001</v>
      </c>
      <c r="I901">
        <v>149.9</v>
      </c>
      <c r="J901">
        <v>150.4</v>
      </c>
      <c r="K901">
        <v>150.30000000000001</v>
      </c>
      <c r="L901">
        <v>150.69999999999999</v>
      </c>
      <c r="M901">
        <v>149.80000000000001</v>
      </c>
      <c r="N901">
        <v>149.69999999999999</v>
      </c>
    </row>
    <row r="902" spans="3:14" x14ac:dyDescent="0.2">
      <c r="C902" t="s">
        <v>622</v>
      </c>
      <c r="D902">
        <v>0</v>
      </c>
      <c r="E902">
        <v>0</v>
      </c>
      <c r="F902">
        <v>0.1</v>
      </c>
      <c r="G902">
        <v>0.3</v>
      </c>
      <c r="H902">
        <v>0.5</v>
      </c>
      <c r="I902">
        <v>0.9</v>
      </c>
      <c r="J902">
        <v>2</v>
      </c>
      <c r="K902">
        <v>2.8</v>
      </c>
      <c r="L902">
        <v>3.7</v>
      </c>
      <c r="M902">
        <v>4.5</v>
      </c>
      <c r="N902">
        <v>5.0999999999999996</v>
      </c>
    </row>
    <row r="903" spans="3:14" x14ac:dyDescent="0.2">
      <c r="C903" t="s">
        <v>623</v>
      </c>
      <c r="D903">
        <v>0</v>
      </c>
      <c r="E903">
        <v>0.1</v>
      </c>
      <c r="F903">
        <v>0.3</v>
      </c>
      <c r="G903">
        <v>0.8</v>
      </c>
      <c r="H903">
        <v>1.2</v>
      </c>
      <c r="I903">
        <v>2</v>
      </c>
      <c r="J903">
        <v>3.5</v>
      </c>
      <c r="K903">
        <v>9.1</v>
      </c>
      <c r="L903">
        <v>12.5</v>
      </c>
      <c r="M903">
        <v>17</v>
      </c>
      <c r="N903">
        <v>21.3</v>
      </c>
    </row>
    <row r="904" spans="3:14" x14ac:dyDescent="0.2">
      <c r="C904" t="s">
        <v>47</v>
      </c>
      <c r="D904">
        <v>0</v>
      </c>
      <c r="E904">
        <v>0</v>
      </c>
      <c r="F904">
        <v>0</v>
      </c>
      <c r="G904">
        <v>0.1</v>
      </c>
      <c r="H904">
        <v>0.4</v>
      </c>
      <c r="I904">
        <v>0.7</v>
      </c>
      <c r="J904">
        <v>1.2</v>
      </c>
      <c r="K904">
        <v>1.4</v>
      </c>
      <c r="L904">
        <v>1.4</v>
      </c>
      <c r="M904">
        <v>1.5</v>
      </c>
      <c r="N904">
        <v>1.5</v>
      </c>
    </row>
    <row r="905" spans="3:14" x14ac:dyDescent="0.2">
      <c r="C905" t="s">
        <v>624</v>
      </c>
      <c r="D905">
        <v>458.3</v>
      </c>
      <c r="E905">
        <v>425.1</v>
      </c>
      <c r="F905">
        <v>470.3</v>
      </c>
      <c r="G905">
        <v>476</v>
      </c>
      <c r="H905">
        <v>467.1</v>
      </c>
      <c r="I905">
        <v>427.9</v>
      </c>
      <c r="J905">
        <v>376</v>
      </c>
      <c r="K905">
        <v>360.2</v>
      </c>
      <c r="L905">
        <v>359.5</v>
      </c>
      <c r="M905">
        <v>363.5</v>
      </c>
      <c r="N905">
        <v>364.5</v>
      </c>
    </row>
    <row r="906" spans="3:14" x14ac:dyDescent="0.2">
      <c r="C906" t="s">
        <v>625</v>
      </c>
      <c r="D906">
        <v>-26.5</v>
      </c>
      <c r="E906">
        <v>15.2</v>
      </c>
      <c r="F906">
        <v>7.4</v>
      </c>
      <c r="G906">
        <v>5.8</v>
      </c>
      <c r="H906">
        <v>7.5</v>
      </c>
      <c r="I906">
        <v>10.4</v>
      </c>
      <c r="J906">
        <v>19.3</v>
      </c>
      <c r="K906">
        <v>1.3</v>
      </c>
      <c r="L906">
        <v>2.2999999999999998</v>
      </c>
      <c r="M906">
        <v>0</v>
      </c>
      <c r="N906">
        <v>0</v>
      </c>
    </row>
    <row r="907" spans="3:14" x14ac:dyDescent="0.2">
      <c r="C907" t="s">
        <v>626</v>
      </c>
      <c r="D907">
        <v>-7.5</v>
      </c>
      <c r="E907">
        <v>-8.1999999999999993</v>
      </c>
      <c r="F907">
        <v>-9.5</v>
      </c>
      <c r="G907">
        <v>-13.8</v>
      </c>
      <c r="H907">
        <v>-17.2</v>
      </c>
      <c r="I907">
        <v>-20</v>
      </c>
      <c r="J907">
        <v>-22.4</v>
      </c>
      <c r="K907">
        <v>-21.3</v>
      </c>
      <c r="L907">
        <v>-20.7</v>
      </c>
      <c r="M907">
        <v>-20.5</v>
      </c>
      <c r="N907">
        <v>-20.2</v>
      </c>
    </row>
    <row r="908" spans="3:14" x14ac:dyDescent="0.2">
      <c r="C908" t="s">
        <v>627</v>
      </c>
      <c r="D908">
        <v>424.3</v>
      </c>
      <c r="E908">
        <v>432.2</v>
      </c>
      <c r="F908">
        <v>468.1</v>
      </c>
      <c r="G908">
        <v>467.9</v>
      </c>
      <c r="H908">
        <v>457.4</v>
      </c>
      <c r="I908">
        <v>418.3</v>
      </c>
      <c r="J908">
        <v>372.8</v>
      </c>
      <c r="K908">
        <v>340.1</v>
      </c>
      <c r="L908">
        <v>341.1</v>
      </c>
      <c r="M908">
        <v>343</v>
      </c>
      <c r="N908">
        <v>344.3</v>
      </c>
    </row>
    <row r="909" spans="3:14" x14ac:dyDescent="0.2">
      <c r="C909" t="s">
        <v>628</v>
      </c>
      <c r="D909" s="75">
        <v>0.60099999999999998</v>
      </c>
      <c r="E909" s="75">
        <v>0.58099999999999996</v>
      </c>
      <c r="F909" s="75">
        <v>0.59499999999999997</v>
      </c>
      <c r="G909" s="75">
        <v>0.58499999999999996</v>
      </c>
      <c r="H909" s="75">
        <v>0.54800000000000004</v>
      </c>
      <c r="I909" s="75">
        <v>0.49399999999999999</v>
      </c>
      <c r="J909" s="75">
        <v>0.41</v>
      </c>
      <c r="K909" s="75">
        <v>0.372</v>
      </c>
      <c r="L909" s="75">
        <v>0.35899999999999999</v>
      </c>
      <c r="M909" s="75">
        <v>0.36099999999999999</v>
      </c>
      <c r="N909" s="75">
        <v>0.35199999999999998</v>
      </c>
    </row>
    <row r="913" spans="2:14" s="2" customFormat="1" ht="15" x14ac:dyDescent="0.25">
      <c r="C913" s="9" t="s">
        <v>658</v>
      </c>
      <c r="D913" s="2" t="s">
        <v>659</v>
      </c>
    </row>
    <row r="914" spans="2:14" s="2" customFormat="1" ht="15" x14ac:dyDescent="0.25">
      <c r="B914" s="2" t="s">
        <v>631</v>
      </c>
    </row>
    <row r="915" spans="2:14" s="2" customFormat="1" ht="15" x14ac:dyDescent="0.25">
      <c r="B915" s="13" t="s">
        <v>567</v>
      </c>
      <c r="D915" s="2">
        <v>2000</v>
      </c>
      <c r="E915" s="2">
        <v>2005</v>
      </c>
      <c r="F915" s="2">
        <v>2010</v>
      </c>
      <c r="G915" s="2">
        <v>2015</v>
      </c>
      <c r="H915" s="2">
        <v>2020</v>
      </c>
      <c r="I915" s="2">
        <v>2025</v>
      </c>
      <c r="J915" s="2">
        <v>2030</v>
      </c>
      <c r="K915" s="2">
        <v>2035</v>
      </c>
      <c r="L915" s="2">
        <v>2040</v>
      </c>
      <c r="M915" s="2">
        <v>2045</v>
      </c>
      <c r="N915" s="2">
        <v>2050</v>
      </c>
    </row>
    <row r="916" spans="2:14" x14ac:dyDescent="0.2">
      <c r="C916" t="s">
        <v>568</v>
      </c>
      <c r="D916">
        <v>38.380000000000003</v>
      </c>
      <c r="E916">
        <v>34.340000000000003</v>
      </c>
      <c r="F916">
        <v>35.42</v>
      </c>
      <c r="G916">
        <v>39</v>
      </c>
      <c r="H916">
        <v>41.96</v>
      </c>
      <c r="I916">
        <v>42.35</v>
      </c>
      <c r="J916">
        <v>42.67</v>
      </c>
      <c r="K916">
        <v>43.02</v>
      </c>
      <c r="L916">
        <v>43.44</v>
      </c>
      <c r="M916">
        <v>43.82</v>
      </c>
      <c r="N916">
        <v>44.15</v>
      </c>
    </row>
    <row r="917" spans="2:14" x14ac:dyDescent="0.2">
      <c r="C917" t="s">
        <v>633</v>
      </c>
      <c r="D917">
        <v>38.380000000000003</v>
      </c>
      <c r="E917">
        <v>34.340000000000003</v>
      </c>
      <c r="F917">
        <v>35.42</v>
      </c>
      <c r="G917">
        <v>36.950000000000003</v>
      </c>
      <c r="H917">
        <v>36.869999999999997</v>
      </c>
      <c r="I917">
        <v>36.83</v>
      </c>
      <c r="J917">
        <v>36.75</v>
      </c>
      <c r="K917">
        <v>36.54</v>
      </c>
      <c r="L917">
        <v>36.409999999999997</v>
      </c>
      <c r="M917">
        <v>35.85</v>
      </c>
      <c r="N917">
        <v>35.57</v>
      </c>
    </row>
    <row r="918" spans="2:14" x14ac:dyDescent="0.2">
      <c r="C918" t="s">
        <v>603</v>
      </c>
      <c r="D918" t="s">
        <v>3</v>
      </c>
      <c r="E918" t="s">
        <v>3</v>
      </c>
      <c r="F918" t="s">
        <v>3</v>
      </c>
      <c r="G918">
        <v>2.0499999999999998</v>
      </c>
      <c r="H918">
        <v>5.09</v>
      </c>
      <c r="I918">
        <v>5.52</v>
      </c>
      <c r="J918">
        <v>5.91</v>
      </c>
      <c r="K918">
        <v>6.48</v>
      </c>
      <c r="L918">
        <v>7.02</v>
      </c>
      <c r="M918">
        <v>7.96</v>
      </c>
      <c r="N918">
        <v>8.57</v>
      </c>
    </row>
    <row r="919" spans="2:14" x14ac:dyDescent="0.2">
      <c r="C919" t="s">
        <v>571</v>
      </c>
      <c r="D919">
        <v>24.73</v>
      </c>
      <c r="E919">
        <v>21.9</v>
      </c>
      <c r="F919">
        <v>25.13</v>
      </c>
      <c r="G919">
        <v>24.58</v>
      </c>
      <c r="H919">
        <v>21.68</v>
      </c>
      <c r="I919">
        <v>15.98</v>
      </c>
      <c r="J919">
        <v>8.81</v>
      </c>
      <c r="K919" t="s">
        <v>572</v>
      </c>
      <c r="L919" t="s">
        <v>3</v>
      </c>
      <c r="M919" t="s">
        <v>3</v>
      </c>
      <c r="N919" t="s">
        <v>3</v>
      </c>
    </row>
    <row r="920" spans="2:14" x14ac:dyDescent="0.2">
      <c r="C920" t="s">
        <v>604</v>
      </c>
      <c r="D920">
        <v>1.79</v>
      </c>
      <c r="E920">
        <v>2.0699999999999998</v>
      </c>
      <c r="F920">
        <v>2.1800000000000002</v>
      </c>
      <c r="G920">
        <v>2.7</v>
      </c>
      <c r="H920">
        <v>3.13</v>
      </c>
      <c r="I920">
        <v>5.39</v>
      </c>
      <c r="J920">
        <v>7.79</v>
      </c>
      <c r="K920">
        <v>15.2</v>
      </c>
      <c r="L920">
        <v>12.87</v>
      </c>
      <c r="M920">
        <v>11.81</v>
      </c>
      <c r="N920">
        <v>10.65</v>
      </c>
    </row>
    <row r="921" spans="2:14" x14ac:dyDescent="0.2">
      <c r="C921" t="s">
        <v>605</v>
      </c>
      <c r="D921">
        <v>1.79</v>
      </c>
      <c r="E921">
        <v>2.0699999999999998</v>
      </c>
      <c r="F921">
        <v>2.1800000000000002</v>
      </c>
      <c r="G921">
        <v>1.76</v>
      </c>
      <c r="H921">
        <v>1.48</v>
      </c>
      <c r="I921">
        <v>0.92</v>
      </c>
      <c r="J921">
        <v>0.57999999999999996</v>
      </c>
      <c r="K921">
        <v>0.32</v>
      </c>
      <c r="L921" t="s">
        <v>572</v>
      </c>
      <c r="M921" t="s">
        <v>3</v>
      </c>
      <c r="N921" t="s">
        <v>3</v>
      </c>
    </row>
    <row r="922" spans="2:14" x14ac:dyDescent="0.2">
      <c r="C922" t="s">
        <v>606</v>
      </c>
      <c r="D922" t="s">
        <v>572</v>
      </c>
      <c r="E922" t="s">
        <v>572</v>
      </c>
      <c r="F922" t="s">
        <v>3</v>
      </c>
      <c r="G922" t="s">
        <v>3</v>
      </c>
      <c r="H922" t="s">
        <v>3</v>
      </c>
      <c r="I922">
        <v>2.0099999999999998</v>
      </c>
      <c r="J922">
        <v>4.17</v>
      </c>
      <c r="K922">
        <v>11.63</v>
      </c>
      <c r="L922">
        <v>9.43</v>
      </c>
      <c r="M922">
        <v>8.36</v>
      </c>
      <c r="N922">
        <v>7.2</v>
      </c>
    </row>
    <row r="923" spans="2:14" x14ac:dyDescent="0.2">
      <c r="C923" t="s">
        <v>607</v>
      </c>
      <c r="D923" t="s">
        <v>3</v>
      </c>
      <c r="E923" t="s">
        <v>3</v>
      </c>
      <c r="F923" t="s">
        <v>3</v>
      </c>
      <c r="G923">
        <v>0.94</v>
      </c>
      <c r="H923">
        <v>1.65</v>
      </c>
      <c r="I923">
        <v>2.4700000000000002</v>
      </c>
      <c r="J923">
        <v>3.04</v>
      </c>
      <c r="K923">
        <v>3.26</v>
      </c>
      <c r="L923">
        <v>3.44</v>
      </c>
      <c r="M923">
        <v>3.45</v>
      </c>
      <c r="N923">
        <v>3.45</v>
      </c>
    </row>
    <row r="924" spans="2:14" x14ac:dyDescent="0.2">
      <c r="C924" t="s">
        <v>608</v>
      </c>
      <c r="D924">
        <v>0.81</v>
      </c>
      <c r="E924">
        <v>1.01</v>
      </c>
      <c r="F924">
        <v>1.38</v>
      </c>
      <c r="G924">
        <v>2.36</v>
      </c>
      <c r="H924">
        <v>3.68</v>
      </c>
      <c r="I924">
        <v>5.66</v>
      </c>
      <c r="J924">
        <v>8.24</v>
      </c>
      <c r="K924">
        <v>11.94</v>
      </c>
      <c r="L924">
        <v>16.149999999999999</v>
      </c>
      <c r="M924">
        <v>20.57</v>
      </c>
      <c r="N924">
        <v>24.22</v>
      </c>
    </row>
    <row r="925" spans="2:14" x14ac:dyDescent="0.2">
      <c r="C925" t="s">
        <v>609</v>
      </c>
      <c r="D925">
        <v>0.81</v>
      </c>
      <c r="E925">
        <v>1.01</v>
      </c>
      <c r="F925">
        <v>1.38</v>
      </c>
      <c r="G925">
        <v>1.03</v>
      </c>
      <c r="H925">
        <v>0.92</v>
      </c>
      <c r="I925">
        <v>0.7</v>
      </c>
      <c r="J925">
        <v>0.4</v>
      </c>
      <c r="K925">
        <v>0.1</v>
      </c>
      <c r="L925">
        <v>0.01</v>
      </c>
      <c r="M925" t="s">
        <v>3</v>
      </c>
      <c r="N925" t="s">
        <v>3</v>
      </c>
    </row>
    <row r="926" spans="2:14" x14ac:dyDescent="0.2">
      <c r="C926" t="s">
        <v>610</v>
      </c>
      <c r="D926" t="s">
        <v>572</v>
      </c>
      <c r="E926" t="s">
        <v>3</v>
      </c>
      <c r="F926" t="s">
        <v>3</v>
      </c>
      <c r="G926">
        <v>1.34</v>
      </c>
      <c r="H926">
        <v>2.77</v>
      </c>
      <c r="I926">
        <v>4.95</v>
      </c>
      <c r="J926">
        <v>7.84</v>
      </c>
      <c r="K926">
        <v>11.84</v>
      </c>
      <c r="L926">
        <v>16.14</v>
      </c>
      <c r="M926">
        <v>20.57</v>
      </c>
      <c r="N926">
        <v>24.22</v>
      </c>
    </row>
    <row r="927" spans="2:14" x14ac:dyDescent="0.2">
      <c r="C927" t="s">
        <v>580</v>
      </c>
      <c r="D927">
        <v>0.01</v>
      </c>
      <c r="E927">
        <v>0.02</v>
      </c>
      <c r="F927">
        <v>0.08</v>
      </c>
      <c r="G927">
        <v>0.28000000000000003</v>
      </c>
      <c r="H927">
        <v>0.52</v>
      </c>
      <c r="I927">
        <v>0.98</v>
      </c>
      <c r="J927">
        <v>1.91</v>
      </c>
      <c r="K927">
        <v>4.4400000000000004</v>
      </c>
      <c r="L927">
        <v>6.74</v>
      </c>
      <c r="M927">
        <v>9.23</v>
      </c>
      <c r="N927">
        <v>11.12</v>
      </c>
    </row>
    <row r="928" spans="2:14" x14ac:dyDescent="0.2">
      <c r="C928" t="s">
        <v>581</v>
      </c>
      <c r="D928">
        <v>0</v>
      </c>
      <c r="E928">
        <v>0.01</v>
      </c>
      <c r="F928">
        <v>0.04</v>
      </c>
      <c r="G928">
        <v>0.35</v>
      </c>
      <c r="H928">
        <v>0.66</v>
      </c>
      <c r="I928">
        <v>0.99</v>
      </c>
      <c r="J928">
        <v>1.46</v>
      </c>
      <c r="K928">
        <v>1.76</v>
      </c>
      <c r="L928">
        <v>2.59</v>
      </c>
      <c r="M928">
        <v>3.43</v>
      </c>
      <c r="N928">
        <v>4.26</v>
      </c>
    </row>
    <row r="929" spans="3:14" x14ac:dyDescent="0.2">
      <c r="C929" t="s">
        <v>582</v>
      </c>
      <c r="D929" t="s">
        <v>572</v>
      </c>
      <c r="E929" t="s">
        <v>572</v>
      </c>
      <c r="F929" t="s">
        <v>3</v>
      </c>
      <c r="G929" t="s">
        <v>3</v>
      </c>
      <c r="H929" t="s">
        <v>3</v>
      </c>
      <c r="I929" t="s">
        <v>3</v>
      </c>
      <c r="J929" t="s">
        <v>3</v>
      </c>
      <c r="K929" t="s">
        <v>3</v>
      </c>
      <c r="L929" t="s">
        <v>3</v>
      </c>
      <c r="M929" t="s">
        <v>3</v>
      </c>
      <c r="N929" t="s">
        <v>3</v>
      </c>
    </row>
    <row r="930" spans="3:14" x14ac:dyDescent="0.2">
      <c r="C930" t="s">
        <v>47</v>
      </c>
      <c r="D930" t="s">
        <v>572</v>
      </c>
      <c r="E930" t="s">
        <v>572</v>
      </c>
      <c r="F930" t="s">
        <v>3</v>
      </c>
      <c r="G930">
        <v>0.1</v>
      </c>
      <c r="H930">
        <v>0.2</v>
      </c>
      <c r="I930">
        <v>0.39</v>
      </c>
      <c r="J930">
        <v>0.78</v>
      </c>
      <c r="K930">
        <v>1.43</v>
      </c>
      <c r="L930">
        <v>2.41</v>
      </c>
      <c r="M930">
        <v>3.48</v>
      </c>
      <c r="N930">
        <v>4.3899999999999997</v>
      </c>
    </row>
    <row r="931" spans="3:14" x14ac:dyDescent="0.2">
      <c r="C931" t="s">
        <v>583</v>
      </c>
      <c r="D931">
        <v>0.01</v>
      </c>
      <c r="E931">
        <v>0.03</v>
      </c>
      <c r="F931">
        <v>0.14000000000000001</v>
      </c>
      <c r="G931">
        <v>0.33</v>
      </c>
      <c r="H931">
        <v>0.6</v>
      </c>
      <c r="I931">
        <v>0.97</v>
      </c>
      <c r="J931">
        <v>1.21</v>
      </c>
      <c r="K931">
        <v>1.21</v>
      </c>
      <c r="L931">
        <v>1.23</v>
      </c>
      <c r="M931">
        <v>1.23</v>
      </c>
      <c r="N931">
        <v>1.24</v>
      </c>
    </row>
    <row r="932" spans="3:14" x14ac:dyDescent="0.2">
      <c r="C932" t="s">
        <v>584</v>
      </c>
      <c r="D932">
        <v>0.01</v>
      </c>
      <c r="E932">
        <v>0.02</v>
      </c>
      <c r="F932">
        <v>0.08</v>
      </c>
      <c r="G932">
        <v>0.21</v>
      </c>
      <c r="H932">
        <v>0.46</v>
      </c>
      <c r="I932">
        <v>0.88</v>
      </c>
      <c r="J932">
        <v>1.29</v>
      </c>
      <c r="K932">
        <v>1.48</v>
      </c>
      <c r="L932">
        <v>1.55</v>
      </c>
      <c r="M932">
        <v>1.58</v>
      </c>
      <c r="N932">
        <v>1.58</v>
      </c>
    </row>
    <row r="933" spans="3:14" x14ac:dyDescent="0.2">
      <c r="C933" t="s">
        <v>585</v>
      </c>
      <c r="D933">
        <v>0.09</v>
      </c>
      <c r="E933">
        <v>0.11</v>
      </c>
      <c r="F933">
        <v>0.12</v>
      </c>
      <c r="G933">
        <v>0.1</v>
      </c>
      <c r="H933">
        <v>0.16</v>
      </c>
      <c r="I933">
        <v>0.22</v>
      </c>
      <c r="J933">
        <v>0.27</v>
      </c>
      <c r="K933">
        <v>0.28999999999999998</v>
      </c>
      <c r="L933">
        <v>0.28999999999999998</v>
      </c>
      <c r="M933">
        <v>0.3</v>
      </c>
      <c r="N933">
        <v>0.3</v>
      </c>
    </row>
    <row r="934" spans="3:14" x14ac:dyDescent="0.2">
      <c r="C934" t="s">
        <v>586</v>
      </c>
      <c r="D934">
        <v>0.63</v>
      </c>
      <c r="E934">
        <v>0.8</v>
      </c>
      <c r="F934">
        <v>0.92</v>
      </c>
      <c r="G934">
        <v>0.99</v>
      </c>
      <c r="H934">
        <v>1.1000000000000001</v>
      </c>
      <c r="I934">
        <v>1.23</v>
      </c>
      <c r="J934">
        <v>1.32</v>
      </c>
      <c r="K934">
        <v>1.32</v>
      </c>
      <c r="L934">
        <v>1.33</v>
      </c>
      <c r="M934">
        <v>1.33</v>
      </c>
      <c r="N934">
        <v>1.33</v>
      </c>
    </row>
    <row r="935" spans="3:14" x14ac:dyDescent="0.2">
      <c r="C935" t="s">
        <v>587</v>
      </c>
      <c r="D935">
        <v>0.04</v>
      </c>
      <c r="E935">
        <v>0.02</v>
      </c>
      <c r="F935">
        <v>0</v>
      </c>
      <c r="G935">
        <v>0.01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</row>
    <row r="936" spans="3:14" x14ac:dyDescent="0.2">
      <c r="C936" t="s">
        <v>588</v>
      </c>
      <c r="D936" s="20">
        <f t="shared" ref="D936:J936" si="81">D916+D919+D920+D924</f>
        <v>65.710000000000008</v>
      </c>
      <c r="E936" s="20">
        <f t="shared" si="81"/>
        <v>59.32</v>
      </c>
      <c r="F936" s="20">
        <f t="shared" si="81"/>
        <v>64.11</v>
      </c>
      <c r="G936" s="20">
        <f t="shared" si="81"/>
        <v>68.64</v>
      </c>
      <c r="H936" s="20">
        <f t="shared" si="81"/>
        <v>70.45</v>
      </c>
      <c r="I936" s="20">
        <f t="shared" si="81"/>
        <v>69.38</v>
      </c>
      <c r="J936" s="20">
        <f t="shared" si="81"/>
        <v>67.510000000000005</v>
      </c>
      <c r="K936" s="20">
        <f>K916+K920+K924</f>
        <v>70.16</v>
      </c>
      <c r="L936" s="20">
        <f>L916+L920+L924</f>
        <v>72.459999999999994</v>
      </c>
      <c r="M936" s="20">
        <f>M916+M920+M924</f>
        <v>76.2</v>
      </c>
      <c r="N936" s="20">
        <f>N916+N920+N924</f>
        <v>79.02</v>
      </c>
    </row>
    <row r="937" spans="3:14" x14ac:dyDescent="0.2">
      <c r="C937" t="s">
        <v>654</v>
      </c>
      <c r="D937">
        <v>-2.2200000000000002</v>
      </c>
      <c r="E937">
        <v>-2.2200000000000002</v>
      </c>
      <c r="F937">
        <v>-2.56</v>
      </c>
      <c r="G937">
        <v>-4.34</v>
      </c>
      <c r="H937">
        <v>-7.54</v>
      </c>
      <c r="I937">
        <v>-7.54</v>
      </c>
      <c r="J937">
        <v>-7.54</v>
      </c>
      <c r="K937">
        <v>-7.54</v>
      </c>
      <c r="L937">
        <v>-7.54</v>
      </c>
      <c r="M937">
        <v>-7.54</v>
      </c>
      <c r="N937">
        <v>-7.54</v>
      </c>
    </row>
    <row r="938" spans="3:14" x14ac:dyDescent="0.2">
      <c r="C938" s="14" t="s">
        <v>590</v>
      </c>
      <c r="D938" s="32">
        <f>D936+D937</f>
        <v>63.490000000000009</v>
      </c>
      <c r="E938" s="32">
        <f t="shared" ref="E938:N938" si="82">E936+E937</f>
        <v>57.1</v>
      </c>
      <c r="F938" s="32">
        <f t="shared" si="82"/>
        <v>61.55</v>
      </c>
      <c r="G938" s="32">
        <f t="shared" si="82"/>
        <v>64.3</v>
      </c>
      <c r="H938" s="32">
        <f t="shared" si="82"/>
        <v>62.910000000000004</v>
      </c>
      <c r="I938" s="32">
        <f t="shared" si="82"/>
        <v>61.839999999999996</v>
      </c>
      <c r="J938" s="32">
        <f t="shared" si="82"/>
        <v>59.970000000000006</v>
      </c>
      <c r="K938" s="32">
        <f t="shared" si="82"/>
        <v>62.62</v>
      </c>
      <c r="L938" s="32">
        <f t="shared" si="82"/>
        <v>64.919999999999987</v>
      </c>
      <c r="M938" s="32">
        <f t="shared" si="82"/>
        <v>68.66</v>
      </c>
      <c r="N938" s="32">
        <f t="shared" si="82"/>
        <v>71.47999999999999</v>
      </c>
    </row>
    <row r="939" spans="3:14" x14ac:dyDescent="0.2">
      <c r="C939" t="s">
        <v>591</v>
      </c>
      <c r="D939">
        <v>18.72</v>
      </c>
      <c r="E939">
        <v>17.98</v>
      </c>
      <c r="F939">
        <v>17.239999999999998</v>
      </c>
      <c r="G939">
        <v>17.239999999999998</v>
      </c>
      <c r="H939">
        <v>10.06</v>
      </c>
      <c r="I939">
        <v>8.42</v>
      </c>
      <c r="J939">
        <v>8.42</v>
      </c>
      <c r="K939">
        <v>2.61</v>
      </c>
      <c r="L939">
        <v>1.3</v>
      </c>
      <c r="M939" t="s">
        <v>3</v>
      </c>
      <c r="N939" t="s">
        <v>3</v>
      </c>
    </row>
    <row r="940" spans="3:14" x14ac:dyDescent="0.2">
      <c r="C940" t="s">
        <v>592</v>
      </c>
      <c r="D940">
        <v>18.72</v>
      </c>
      <c r="E940">
        <v>17.98</v>
      </c>
      <c r="F940">
        <v>17.239999999999998</v>
      </c>
      <c r="G940">
        <v>17.239999999999998</v>
      </c>
      <c r="H940">
        <v>10.06</v>
      </c>
      <c r="I940">
        <v>8.42</v>
      </c>
      <c r="J940">
        <v>8.42</v>
      </c>
      <c r="K940">
        <v>2.61</v>
      </c>
      <c r="L940">
        <v>1.3</v>
      </c>
      <c r="M940" t="s">
        <v>3</v>
      </c>
      <c r="N940" t="s">
        <v>572</v>
      </c>
    </row>
    <row r="941" spans="3:14" x14ac:dyDescent="0.2">
      <c r="C941" t="s">
        <v>593</v>
      </c>
      <c r="D941" t="s">
        <v>572</v>
      </c>
      <c r="E941" t="s">
        <v>3</v>
      </c>
      <c r="F941" t="s">
        <v>3</v>
      </c>
      <c r="G941" t="s">
        <v>3</v>
      </c>
      <c r="H941" t="s">
        <v>3</v>
      </c>
      <c r="I941" t="s">
        <v>3</v>
      </c>
      <c r="J941" t="s">
        <v>3</v>
      </c>
      <c r="K941" t="s">
        <v>572</v>
      </c>
      <c r="L941" t="s">
        <v>3</v>
      </c>
      <c r="M941" t="s">
        <v>3</v>
      </c>
      <c r="N941" t="s">
        <v>3</v>
      </c>
    </row>
    <row r="942" spans="3:14" x14ac:dyDescent="0.2">
      <c r="C942" t="s">
        <v>594</v>
      </c>
      <c r="D942">
        <v>26.07</v>
      </c>
      <c r="E942">
        <v>13.75</v>
      </c>
      <c r="F942">
        <v>15.19</v>
      </c>
      <c r="G942">
        <v>16.46</v>
      </c>
      <c r="H942">
        <v>8.9700000000000006</v>
      </c>
      <c r="I942">
        <v>7.22</v>
      </c>
      <c r="J942">
        <v>5.7</v>
      </c>
      <c r="K942">
        <v>2.2599999999999998</v>
      </c>
      <c r="L942">
        <v>2.29</v>
      </c>
      <c r="M942">
        <v>3.73</v>
      </c>
      <c r="N942">
        <v>5.53</v>
      </c>
    </row>
    <row r="943" spans="3:14" x14ac:dyDescent="0.2">
      <c r="C943" t="s">
        <v>612</v>
      </c>
      <c r="D943">
        <v>2.83</v>
      </c>
      <c r="E943">
        <v>2.2599999999999998</v>
      </c>
      <c r="F943">
        <v>2.2599999999999998</v>
      </c>
      <c r="G943">
        <v>2.2599999999999998</v>
      </c>
      <c r="H943">
        <v>2.2599999999999998</v>
      </c>
      <c r="I943">
        <v>2.2599999999999998</v>
      </c>
      <c r="J943">
        <v>2.2599999999999998</v>
      </c>
      <c r="K943">
        <v>2.2599999999999998</v>
      </c>
      <c r="L943">
        <v>0.66</v>
      </c>
      <c r="M943" t="s">
        <v>572</v>
      </c>
      <c r="N943" t="s">
        <v>3</v>
      </c>
    </row>
    <row r="944" spans="3:14" x14ac:dyDescent="0.2">
      <c r="C944" t="s">
        <v>596</v>
      </c>
      <c r="D944">
        <v>23.24</v>
      </c>
      <c r="E944">
        <v>11.49</v>
      </c>
      <c r="F944">
        <v>12.93</v>
      </c>
      <c r="G944">
        <v>14.2</v>
      </c>
      <c r="H944">
        <v>6.71</v>
      </c>
      <c r="I944">
        <v>4.96</v>
      </c>
      <c r="J944">
        <v>3.44</v>
      </c>
      <c r="K944" t="s">
        <v>572</v>
      </c>
      <c r="L944">
        <v>1.63</v>
      </c>
      <c r="M944">
        <v>3.73</v>
      </c>
      <c r="N944">
        <v>5.53</v>
      </c>
    </row>
    <row r="945" spans="2:14" x14ac:dyDescent="0.2">
      <c r="C945" s="14" t="s">
        <v>597</v>
      </c>
      <c r="D945" s="32">
        <f>D939-D942</f>
        <v>-7.3500000000000014</v>
      </c>
      <c r="E945" s="32">
        <f t="shared" ref="E945:L945" si="83">E939-E942</f>
        <v>4.2300000000000004</v>
      </c>
      <c r="F945" s="32">
        <f t="shared" si="83"/>
        <v>2.0499999999999989</v>
      </c>
      <c r="G945" s="32">
        <f t="shared" si="83"/>
        <v>0.77999999999999758</v>
      </c>
      <c r="H945" s="32">
        <f t="shared" si="83"/>
        <v>1.0899999999999999</v>
      </c>
      <c r="I945" s="32">
        <f t="shared" si="83"/>
        <v>1.2000000000000002</v>
      </c>
      <c r="J945" s="32">
        <f t="shared" si="83"/>
        <v>2.7199999999999998</v>
      </c>
      <c r="K945" s="32">
        <f t="shared" si="83"/>
        <v>0.35000000000000009</v>
      </c>
      <c r="L945" s="32">
        <f t="shared" si="83"/>
        <v>-0.99</v>
      </c>
      <c r="M945" s="32">
        <v>0</v>
      </c>
      <c r="N945" s="32">
        <v>0</v>
      </c>
    </row>
    <row r="946" spans="2:14" x14ac:dyDescent="0.2">
      <c r="C946" t="s">
        <v>598</v>
      </c>
      <c r="D946" s="20">
        <f>D938+D945</f>
        <v>56.140000000000008</v>
      </c>
      <c r="E946" s="20">
        <f t="shared" ref="E946:N946" si="84">E938+E945</f>
        <v>61.33</v>
      </c>
      <c r="F946" s="20">
        <f t="shared" si="84"/>
        <v>63.599999999999994</v>
      </c>
      <c r="G946" s="20">
        <f t="shared" si="84"/>
        <v>65.08</v>
      </c>
      <c r="H946" s="20">
        <f t="shared" si="84"/>
        <v>64</v>
      </c>
      <c r="I946" s="20">
        <f t="shared" si="84"/>
        <v>63.04</v>
      </c>
      <c r="J946" s="20">
        <f t="shared" si="84"/>
        <v>62.690000000000005</v>
      </c>
      <c r="K946" s="20">
        <f t="shared" si="84"/>
        <v>62.97</v>
      </c>
      <c r="L946" s="20">
        <f t="shared" si="84"/>
        <v>63.929999999999986</v>
      </c>
      <c r="M946" s="20">
        <f t="shared" si="84"/>
        <v>68.66</v>
      </c>
      <c r="N946" s="20">
        <f t="shared" si="84"/>
        <v>71.47999999999999</v>
      </c>
    </row>
    <row r="948" spans="2:14" x14ac:dyDescent="0.2">
      <c r="C948" t="s">
        <v>599</v>
      </c>
      <c r="D948">
        <v>61.18</v>
      </c>
      <c r="E948">
        <v>65.81</v>
      </c>
      <c r="F948">
        <v>68.41</v>
      </c>
      <c r="G948">
        <v>71.680000000000007</v>
      </c>
      <c r="H948">
        <v>73.81</v>
      </c>
      <c r="I948">
        <v>72.84</v>
      </c>
      <c r="J948">
        <v>72.48</v>
      </c>
      <c r="K948">
        <v>72.77</v>
      </c>
      <c r="L948">
        <v>72.13</v>
      </c>
      <c r="M948">
        <v>72.47</v>
      </c>
      <c r="N948">
        <v>73.489999999999995</v>
      </c>
    </row>
    <row r="954" spans="2:14" s="2" customFormat="1" ht="15" x14ac:dyDescent="0.25">
      <c r="C954" s="9" t="s">
        <v>660</v>
      </c>
      <c r="D954" s="2" t="s">
        <v>659</v>
      </c>
    </row>
    <row r="955" spans="2:14" s="2" customFormat="1" ht="15" x14ac:dyDescent="0.25">
      <c r="B955" s="2" t="s">
        <v>600</v>
      </c>
    </row>
    <row r="956" spans="2:14" s="2" customFormat="1" ht="15" x14ac:dyDescent="0.25">
      <c r="B956" s="13" t="s">
        <v>601</v>
      </c>
      <c r="D956" s="2">
        <v>2000</v>
      </c>
      <c r="E956" s="2">
        <v>2005</v>
      </c>
      <c r="F956" s="2">
        <v>2010</v>
      </c>
      <c r="G956" s="2">
        <v>2015</v>
      </c>
      <c r="H956" s="2">
        <v>2020</v>
      </c>
      <c r="I956" s="2">
        <v>2025</v>
      </c>
      <c r="J956" s="2">
        <v>2030</v>
      </c>
      <c r="K956" s="2">
        <v>2035</v>
      </c>
      <c r="L956" s="2">
        <v>2040</v>
      </c>
      <c r="M956" s="2">
        <v>2045</v>
      </c>
      <c r="N956" s="2">
        <v>2050</v>
      </c>
    </row>
    <row r="957" spans="2:14" x14ac:dyDescent="0.2">
      <c r="C957" t="s">
        <v>568</v>
      </c>
      <c r="D957">
        <v>17.71</v>
      </c>
      <c r="E957">
        <v>15.56</v>
      </c>
      <c r="F957">
        <v>14.16</v>
      </c>
      <c r="G957">
        <v>17.079999999999998</v>
      </c>
      <c r="H957">
        <v>18.98</v>
      </c>
      <c r="I957">
        <v>19.3</v>
      </c>
      <c r="J957">
        <v>19.59</v>
      </c>
      <c r="K957">
        <v>19.89</v>
      </c>
      <c r="L957">
        <v>20.22</v>
      </c>
      <c r="M957">
        <v>20.53</v>
      </c>
      <c r="N957">
        <v>20.86</v>
      </c>
    </row>
    <row r="958" spans="2:14" x14ac:dyDescent="0.2">
      <c r="C958" t="s">
        <v>633</v>
      </c>
      <c r="D958">
        <v>17.71</v>
      </c>
      <c r="E958">
        <v>15.56</v>
      </c>
      <c r="F958">
        <v>14.16</v>
      </c>
      <c r="G958">
        <v>15.95</v>
      </c>
      <c r="H958">
        <v>16.09</v>
      </c>
      <c r="I958">
        <v>16.239999999999998</v>
      </c>
      <c r="J958">
        <v>16.39</v>
      </c>
      <c r="K958">
        <v>16.47</v>
      </c>
      <c r="L958">
        <v>16.59</v>
      </c>
      <c r="M958">
        <v>16.53</v>
      </c>
      <c r="N958">
        <v>16.63</v>
      </c>
    </row>
    <row r="959" spans="2:14" x14ac:dyDescent="0.2">
      <c r="C959" t="s">
        <v>603</v>
      </c>
      <c r="D959" t="s">
        <v>572</v>
      </c>
      <c r="E959" t="s">
        <v>572</v>
      </c>
      <c r="F959" t="s">
        <v>3</v>
      </c>
      <c r="G959">
        <v>1.1299999999999999</v>
      </c>
      <c r="H959">
        <v>2.89</v>
      </c>
      <c r="I959">
        <v>3.05</v>
      </c>
      <c r="J959">
        <v>3.2</v>
      </c>
      <c r="K959">
        <v>3.42</v>
      </c>
      <c r="L959">
        <v>3.62</v>
      </c>
      <c r="M959">
        <v>4</v>
      </c>
      <c r="N959">
        <v>4.2300000000000004</v>
      </c>
    </row>
    <row r="960" spans="2:14" x14ac:dyDescent="0.2">
      <c r="C960" t="s">
        <v>571</v>
      </c>
      <c r="D960">
        <v>13.72</v>
      </c>
      <c r="E960">
        <v>13.94</v>
      </c>
      <c r="F960">
        <v>14.17</v>
      </c>
      <c r="G960">
        <v>13.5</v>
      </c>
      <c r="H960">
        <v>11.91</v>
      </c>
      <c r="I960">
        <v>8.7799999999999994</v>
      </c>
      <c r="J960">
        <v>4.84</v>
      </c>
      <c r="K960" t="s">
        <v>572</v>
      </c>
      <c r="L960" t="s">
        <v>3</v>
      </c>
      <c r="M960" t="s">
        <v>3</v>
      </c>
      <c r="N960" t="s">
        <v>3</v>
      </c>
    </row>
    <row r="961" spans="3:14" x14ac:dyDescent="0.2">
      <c r="C961" t="s">
        <v>604</v>
      </c>
      <c r="D961">
        <v>1.1100000000000001</v>
      </c>
      <c r="E961">
        <v>1.25</v>
      </c>
      <c r="F961">
        <v>1.3</v>
      </c>
      <c r="G961">
        <v>1.63</v>
      </c>
      <c r="H961">
        <v>1.9</v>
      </c>
      <c r="I961">
        <v>4.09</v>
      </c>
      <c r="J961">
        <v>6.41</v>
      </c>
      <c r="K961">
        <v>13.01</v>
      </c>
      <c r="L961">
        <v>11.56</v>
      </c>
      <c r="M961">
        <v>10.5</v>
      </c>
      <c r="N961">
        <v>9.34</v>
      </c>
    </row>
    <row r="962" spans="3:14" x14ac:dyDescent="0.2">
      <c r="C962" t="s">
        <v>605</v>
      </c>
      <c r="D962">
        <v>1.1100000000000001</v>
      </c>
      <c r="E962">
        <v>1.25</v>
      </c>
      <c r="F962">
        <v>1.3</v>
      </c>
      <c r="G962">
        <v>1.05</v>
      </c>
      <c r="H962">
        <v>0.86</v>
      </c>
      <c r="I962">
        <v>0.53</v>
      </c>
      <c r="J962">
        <v>0.34</v>
      </c>
      <c r="K962">
        <v>0.18</v>
      </c>
      <c r="L962" t="s">
        <v>572</v>
      </c>
      <c r="M962" t="s">
        <v>3</v>
      </c>
      <c r="N962" t="s">
        <v>3</v>
      </c>
    </row>
    <row r="963" spans="3:14" x14ac:dyDescent="0.2">
      <c r="C963" t="s">
        <v>606</v>
      </c>
      <c r="D963" t="s">
        <v>3</v>
      </c>
      <c r="E963" t="s">
        <v>3</v>
      </c>
      <c r="F963" t="s">
        <v>3</v>
      </c>
      <c r="G963" t="s">
        <v>3</v>
      </c>
      <c r="H963" t="s">
        <v>3</v>
      </c>
      <c r="I963">
        <v>2.0099999999999998</v>
      </c>
      <c r="J963">
        <v>4.17</v>
      </c>
      <c r="K963">
        <v>10.81</v>
      </c>
      <c r="L963">
        <v>9.43</v>
      </c>
      <c r="M963">
        <v>8.36</v>
      </c>
      <c r="N963">
        <v>7.2</v>
      </c>
    </row>
    <row r="964" spans="3:14" x14ac:dyDescent="0.2">
      <c r="C964" t="s">
        <v>607</v>
      </c>
      <c r="D964" t="s">
        <v>3</v>
      </c>
      <c r="E964" t="s">
        <v>3</v>
      </c>
      <c r="F964" t="s">
        <v>3</v>
      </c>
      <c r="G964">
        <v>0.57999999999999996</v>
      </c>
      <c r="H964">
        <v>1.04</v>
      </c>
      <c r="I964">
        <v>1.55</v>
      </c>
      <c r="J964">
        <v>1.9</v>
      </c>
      <c r="K964">
        <v>2.0299999999999998</v>
      </c>
      <c r="L964">
        <v>2.13</v>
      </c>
      <c r="M964">
        <v>2.14</v>
      </c>
      <c r="N964">
        <v>2.14</v>
      </c>
    </row>
    <row r="965" spans="3:14" x14ac:dyDescent="0.2">
      <c r="C965" t="s">
        <v>608</v>
      </c>
      <c r="D965">
        <v>0.45</v>
      </c>
      <c r="E965">
        <v>0.55000000000000004</v>
      </c>
      <c r="F965">
        <v>0.76</v>
      </c>
      <c r="G965">
        <v>1.3</v>
      </c>
      <c r="H965">
        <v>2.02</v>
      </c>
      <c r="I965">
        <v>3.06</v>
      </c>
      <c r="J965">
        <v>4.28</v>
      </c>
      <c r="K965">
        <v>5.6</v>
      </c>
      <c r="L965">
        <v>7.27</v>
      </c>
      <c r="M965">
        <v>8.99</v>
      </c>
      <c r="N965">
        <v>10.47</v>
      </c>
    </row>
    <row r="966" spans="3:14" x14ac:dyDescent="0.2">
      <c r="C966" t="s">
        <v>609</v>
      </c>
      <c r="D966">
        <v>0.45</v>
      </c>
      <c r="E966">
        <v>0.55000000000000004</v>
      </c>
      <c r="F966">
        <v>0.76</v>
      </c>
      <c r="G966">
        <v>0.56000000000000005</v>
      </c>
      <c r="H966">
        <v>0.5</v>
      </c>
      <c r="I966">
        <v>0.38</v>
      </c>
      <c r="J966">
        <v>0.21</v>
      </c>
      <c r="K966">
        <v>0.05</v>
      </c>
      <c r="L966">
        <v>0</v>
      </c>
      <c r="M966" t="s">
        <v>3</v>
      </c>
      <c r="N966" t="s">
        <v>3</v>
      </c>
    </row>
    <row r="967" spans="3:14" x14ac:dyDescent="0.2">
      <c r="C967" t="s">
        <v>610</v>
      </c>
      <c r="D967" t="s">
        <v>572</v>
      </c>
      <c r="E967" t="s">
        <v>3</v>
      </c>
      <c r="F967" t="s">
        <v>3</v>
      </c>
      <c r="G967">
        <v>0.74</v>
      </c>
      <c r="H967">
        <v>1.52</v>
      </c>
      <c r="I967">
        <v>2.68</v>
      </c>
      <c r="J967">
        <v>4.07</v>
      </c>
      <c r="K967">
        <v>5.54</v>
      </c>
      <c r="L967">
        <v>7.26</v>
      </c>
      <c r="M967">
        <v>8.99</v>
      </c>
      <c r="N967">
        <v>10.47</v>
      </c>
    </row>
    <row r="968" spans="3:14" x14ac:dyDescent="0.2">
      <c r="C968" t="s">
        <v>580</v>
      </c>
      <c r="D968">
        <v>0</v>
      </c>
      <c r="E968">
        <v>0.01</v>
      </c>
      <c r="F968">
        <v>0.02</v>
      </c>
      <c r="G968">
        <v>0.08</v>
      </c>
      <c r="H968">
        <v>0.14000000000000001</v>
      </c>
      <c r="I968">
        <v>0.26</v>
      </c>
      <c r="J968">
        <v>0.52</v>
      </c>
      <c r="K968">
        <v>1.2</v>
      </c>
      <c r="L968">
        <v>1.82</v>
      </c>
      <c r="M968">
        <v>2.4900000000000002</v>
      </c>
      <c r="N968">
        <v>3</v>
      </c>
    </row>
    <row r="969" spans="3:14" x14ac:dyDescent="0.2">
      <c r="C969" t="s">
        <v>581</v>
      </c>
      <c r="D969">
        <v>0</v>
      </c>
      <c r="E969">
        <v>0.01</v>
      </c>
      <c r="F969">
        <v>0.02</v>
      </c>
      <c r="G969">
        <v>0.21</v>
      </c>
      <c r="H969">
        <v>0.4</v>
      </c>
      <c r="I969">
        <v>0.59</v>
      </c>
      <c r="J969">
        <v>0.88</v>
      </c>
      <c r="K969">
        <v>1.06</v>
      </c>
      <c r="L969">
        <v>1.56</v>
      </c>
      <c r="M969">
        <v>2.06</v>
      </c>
      <c r="N969">
        <v>2.56</v>
      </c>
    </row>
    <row r="970" spans="3:14" x14ac:dyDescent="0.2">
      <c r="C970" t="s">
        <v>582</v>
      </c>
      <c r="D970" t="s">
        <v>3</v>
      </c>
      <c r="E970" t="s">
        <v>3</v>
      </c>
      <c r="F970" t="s">
        <v>3</v>
      </c>
      <c r="G970" t="s">
        <v>3</v>
      </c>
      <c r="H970" t="s">
        <v>3</v>
      </c>
      <c r="I970" t="s">
        <v>3</v>
      </c>
      <c r="J970" t="s">
        <v>3</v>
      </c>
      <c r="K970" t="s">
        <v>3</v>
      </c>
      <c r="L970" t="s">
        <v>3</v>
      </c>
      <c r="M970" t="s">
        <v>3</v>
      </c>
      <c r="N970" t="s">
        <v>3</v>
      </c>
    </row>
    <row r="971" spans="3:14" x14ac:dyDescent="0.2">
      <c r="C971" t="s">
        <v>47</v>
      </c>
      <c r="D971" t="s">
        <v>3</v>
      </c>
      <c r="E971" t="s">
        <v>3</v>
      </c>
      <c r="F971" t="s">
        <v>3</v>
      </c>
      <c r="G971">
        <v>0.05</v>
      </c>
      <c r="H971">
        <v>0.1</v>
      </c>
      <c r="I971">
        <v>0.2</v>
      </c>
      <c r="J971">
        <v>0.39</v>
      </c>
      <c r="K971">
        <v>0.72</v>
      </c>
      <c r="L971">
        <v>1.2</v>
      </c>
      <c r="M971">
        <v>1.74</v>
      </c>
      <c r="N971">
        <v>2.19</v>
      </c>
    </row>
    <row r="972" spans="3:14" x14ac:dyDescent="0.2">
      <c r="C972" t="s">
        <v>583</v>
      </c>
      <c r="D972">
        <v>0.01</v>
      </c>
      <c r="E972">
        <v>0.02</v>
      </c>
      <c r="F972">
        <v>0.09</v>
      </c>
      <c r="G972">
        <v>0.23</v>
      </c>
      <c r="H972">
        <v>0.41</v>
      </c>
      <c r="I972">
        <v>0.66</v>
      </c>
      <c r="J972">
        <v>0.82</v>
      </c>
      <c r="K972">
        <v>0.82</v>
      </c>
      <c r="L972">
        <v>0.83</v>
      </c>
      <c r="M972">
        <v>0.83</v>
      </c>
      <c r="N972">
        <v>0.84</v>
      </c>
    </row>
    <row r="973" spans="3:14" x14ac:dyDescent="0.2">
      <c r="C973" t="s">
        <v>584</v>
      </c>
      <c r="D973">
        <v>0.01</v>
      </c>
      <c r="E973">
        <v>0.01</v>
      </c>
      <c r="F973">
        <v>0.05</v>
      </c>
      <c r="G973">
        <v>0.13</v>
      </c>
      <c r="H973">
        <v>0.28000000000000003</v>
      </c>
      <c r="I973">
        <v>0.54</v>
      </c>
      <c r="J973">
        <v>0.79</v>
      </c>
      <c r="K973">
        <v>0.91</v>
      </c>
      <c r="L973">
        <v>0.95</v>
      </c>
      <c r="M973">
        <v>0.97</v>
      </c>
      <c r="N973">
        <v>0.97</v>
      </c>
    </row>
    <row r="974" spans="3:14" x14ac:dyDescent="0.2">
      <c r="C974" t="s">
        <v>585</v>
      </c>
      <c r="D974">
        <v>0.05</v>
      </c>
      <c r="E974">
        <v>0.06</v>
      </c>
      <c r="F974">
        <v>7.0000000000000007E-2</v>
      </c>
      <c r="G974">
        <v>0.06</v>
      </c>
      <c r="H974">
        <v>0.09</v>
      </c>
      <c r="I974">
        <v>0.13</v>
      </c>
      <c r="J974">
        <v>0.16</v>
      </c>
      <c r="K974">
        <v>0.17</v>
      </c>
      <c r="L974">
        <v>0.17</v>
      </c>
      <c r="M974">
        <v>0.18</v>
      </c>
      <c r="N974">
        <v>0.18</v>
      </c>
    </row>
    <row r="975" spans="3:14" x14ac:dyDescent="0.2">
      <c r="C975" t="s">
        <v>586</v>
      </c>
      <c r="D975">
        <v>0.35</v>
      </c>
      <c r="E975">
        <v>0.44</v>
      </c>
      <c r="F975">
        <v>0.51</v>
      </c>
      <c r="G975">
        <v>0.54</v>
      </c>
      <c r="H975">
        <v>0.6</v>
      </c>
      <c r="I975">
        <v>0.68</v>
      </c>
      <c r="J975">
        <v>0.73</v>
      </c>
      <c r="K975">
        <v>0.73</v>
      </c>
      <c r="L975">
        <v>0.73</v>
      </c>
      <c r="M975">
        <v>0.73</v>
      </c>
      <c r="N975">
        <v>0.73</v>
      </c>
    </row>
    <row r="976" spans="3:14" x14ac:dyDescent="0.2">
      <c r="C976" t="s">
        <v>587</v>
      </c>
      <c r="D976">
        <v>0.02</v>
      </c>
      <c r="E976">
        <v>0.01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</row>
    <row r="977" spans="3:14" x14ac:dyDescent="0.2">
      <c r="C977" t="s">
        <v>588</v>
      </c>
      <c r="D977" s="20">
        <f t="shared" ref="D977:J977" si="85">D957+D960+D961+D965</f>
        <v>32.99</v>
      </c>
      <c r="E977" s="20">
        <f t="shared" si="85"/>
        <v>31.3</v>
      </c>
      <c r="F977" s="20">
        <f t="shared" si="85"/>
        <v>30.39</v>
      </c>
      <c r="G977" s="20">
        <f t="shared" si="85"/>
        <v>33.51</v>
      </c>
      <c r="H977" s="20">
        <f t="shared" si="85"/>
        <v>34.81</v>
      </c>
      <c r="I977" s="20">
        <f t="shared" si="85"/>
        <v>35.230000000000004</v>
      </c>
      <c r="J977" s="20">
        <f t="shared" si="85"/>
        <v>35.119999999999997</v>
      </c>
      <c r="K977" s="20">
        <f>K957+K961+K965</f>
        <v>38.5</v>
      </c>
      <c r="L977" s="20">
        <f>L957+L961+L965</f>
        <v>39.049999999999997</v>
      </c>
      <c r="M977" s="20">
        <f>M957+M961+M965</f>
        <v>40.020000000000003</v>
      </c>
      <c r="N977" s="20">
        <f>N957+N961+N965</f>
        <v>40.67</v>
      </c>
    </row>
    <row r="978" spans="3:14" x14ac:dyDescent="0.2">
      <c r="C978" t="s">
        <v>589</v>
      </c>
      <c r="D978">
        <v>-0.89</v>
      </c>
      <c r="E978">
        <v>-0.89</v>
      </c>
      <c r="F978">
        <v>-1.02</v>
      </c>
      <c r="G978">
        <v>-2.13</v>
      </c>
      <c r="H978">
        <v>-4.12</v>
      </c>
      <c r="I978">
        <v>-4.12</v>
      </c>
      <c r="J978">
        <v>-4.12</v>
      </c>
      <c r="K978">
        <v>-4.12</v>
      </c>
      <c r="L978">
        <v>-4.12</v>
      </c>
      <c r="M978">
        <v>-4.12</v>
      </c>
      <c r="N978">
        <v>-4.12</v>
      </c>
    </row>
    <row r="979" spans="3:14" x14ac:dyDescent="0.2">
      <c r="C979" s="14" t="s">
        <v>590</v>
      </c>
      <c r="D979" s="32">
        <f>D977+D978</f>
        <v>32.1</v>
      </c>
      <c r="E979" s="32">
        <f t="shared" ref="E979:N979" si="86">E977+E978</f>
        <v>30.41</v>
      </c>
      <c r="F979" s="32">
        <f t="shared" si="86"/>
        <v>29.37</v>
      </c>
      <c r="G979" s="32">
        <f t="shared" si="86"/>
        <v>31.38</v>
      </c>
      <c r="H979" s="32">
        <f t="shared" si="86"/>
        <v>30.69</v>
      </c>
      <c r="I979" s="32">
        <f t="shared" si="86"/>
        <v>31.110000000000003</v>
      </c>
      <c r="J979" s="32">
        <f t="shared" si="86"/>
        <v>30.999999999999996</v>
      </c>
      <c r="K979" s="32">
        <f t="shared" si="86"/>
        <v>34.380000000000003</v>
      </c>
      <c r="L979" s="32">
        <f t="shared" si="86"/>
        <v>34.93</v>
      </c>
      <c r="M979" s="32">
        <f t="shared" si="86"/>
        <v>35.900000000000006</v>
      </c>
      <c r="N979" s="32">
        <f t="shared" si="86"/>
        <v>36.550000000000004</v>
      </c>
    </row>
    <row r="980" spans="3:14" x14ac:dyDescent="0.2">
      <c r="C980" t="s">
        <v>591</v>
      </c>
      <c r="D980">
        <v>10.16</v>
      </c>
      <c r="E980">
        <v>9.76</v>
      </c>
      <c r="F980">
        <v>9.36</v>
      </c>
      <c r="G980">
        <v>9.36</v>
      </c>
      <c r="H980">
        <v>5.46</v>
      </c>
      <c r="I980">
        <v>4.57</v>
      </c>
      <c r="J980">
        <v>4.57</v>
      </c>
      <c r="K980">
        <v>1.42</v>
      </c>
      <c r="L980">
        <v>0.71</v>
      </c>
      <c r="M980" t="s">
        <v>3</v>
      </c>
      <c r="N980" t="s">
        <v>572</v>
      </c>
    </row>
    <row r="981" spans="3:14" x14ac:dyDescent="0.2">
      <c r="C981" t="s">
        <v>592</v>
      </c>
      <c r="D981">
        <v>10.16</v>
      </c>
      <c r="E981">
        <v>9.76</v>
      </c>
      <c r="F981">
        <v>9.36</v>
      </c>
      <c r="G981">
        <v>9.36</v>
      </c>
      <c r="H981">
        <v>5.46</v>
      </c>
      <c r="I981">
        <v>4.57</v>
      </c>
      <c r="J981">
        <v>4.57</v>
      </c>
      <c r="K981">
        <v>1.42</v>
      </c>
      <c r="L981">
        <v>0.71</v>
      </c>
      <c r="M981" t="s">
        <v>572</v>
      </c>
      <c r="N981" t="s">
        <v>3</v>
      </c>
    </row>
    <row r="982" spans="3:14" x14ac:dyDescent="0.2">
      <c r="C982" t="s">
        <v>593</v>
      </c>
      <c r="D982" t="s">
        <v>3</v>
      </c>
      <c r="E982" t="s">
        <v>572</v>
      </c>
      <c r="F982" t="s">
        <v>3</v>
      </c>
      <c r="G982" t="s">
        <v>3</v>
      </c>
      <c r="H982" t="s">
        <v>572</v>
      </c>
      <c r="I982" t="s">
        <v>3</v>
      </c>
      <c r="J982" t="s">
        <v>3</v>
      </c>
      <c r="K982" t="s">
        <v>3</v>
      </c>
      <c r="L982" t="s">
        <v>3</v>
      </c>
      <c r="M982" t="s">
        <v>3</v>
      </c>
      <c r="N982" t="s">
        <v>3</v>
      </c>
    </row>
    <row r="983" spans="3:14" x14ac:dyDescent="0.2">
      <c r="C983" t="s">
        <v>594</v>
      </c>
      <c r="D983">
        <v>11.67</v>
      </c>
      <c r="E983">
        <v>6.85</v>
      </c>
      <c r="F983">
        <v>4.0999999999999996</v>
      </c>
      <c r="G983">
        <v>5.22</v>
      </c>
      <c r="H983">
        <v>1.1499999999999999</v>
      </c>
      <c r="I983">
        <v>1.1299999999999999</v>
      </c>
      <c r="J983">
        <v>1.1299999999999999</v>
      </c>
      <c r="K983">
        <v>1.1299999999999999</v>
      </c>
      <c r="L983">
        <v>0.36</v>
      </c>
      <c r="M983" t="s">
        <v>572</v>
      </c>
      <c r="N983">
        <v>0</v>
      </c>
    </row>
    <row r="984" spans="3:14" x14ac:dyDescent="0.2">
      <c r="C984" t="s">
        <v>612</v>
      </c>
      <c r="D984">
        <v>1.47</v>
      </c>
      <c r="E984">
        <v>1.1299999999999999</v>
      </c>
      <c r="F984">
        <v>1.1299999999999999</v>
      </c>
      <c r="G984">
        <v>1.1299999999999999</v>
      </c>
      <c r="H984">
        <v>1.1299999999999999</v>
      </c>
      <c r="I984">
        <v>1.1299999999999999</v>
      </c>
      <c r="J984">
        <v>1.1299999999999999</v>
      </c>
      <c r="K984">
        <v>1.1299999999999999</v>
      </c>
      <c r="L984">
        <v>0.36</v>
      </c>
      <c r="M984" t="s">
        <v>572</v>
      </c>
      <c r="N984" t="s">
        <v>3</v>
      </c>
    </row>
    <row r="985" spans="3:14" x14ac:dyDescent="0.2">
      <c r="C985" t="s">
        <v>596</v>
      </c>
      <c r="D985">
        <v>10.199999999999999</v>
      </c>
      <c r="E985">
        <v>5.72</v>
      </c>
      <c r="F985">
        <v>2.97</v>
      </c>
      <c r="G985">
        <v>4.0999999999999996</v>
      </c>
      <c r="H985">
        <v>0.02</v>
      </c>
      <c r="I985" t="s">
        <v>572</v>
      </c>
      <c r="J985" t="s">
        <v>3</v>
      </c>
      <c r="K985" t="s">
        <v>3</v>
      </c>
      <c r="L985" t="s">
        <v>3</v>
      </c>
      <c r="M985" t="s">
        <v>3</v>
      </c>
      <c r="N985">
        <v>0</v>
      </c>
    </row>
    <row r="986" spans="3:14" x14ac:dyDescent="0.2">
      <c r="C986" s="14" t="s">
        <v>597</v>
      </c>
      <c r="D986" s="32">
        <f>D980-D983</f>
        <v>-1.5099999999999998</v>
      </c>
      <c r="E986" s="32">
        <f t="shared" ref="E986:L986" si="87">E980-E983</f>
        <v>2.91</v>
      </c>
      <c r="F986" s="32">
        <f t="shared" si="87"/>
        <v>5.26</v>
      </c>
      <c r="G986" s="32">
        <f t="shared" si="87"/>
        <v>4.1399999999999997</v>
      </c>
      <c r="H986" s="32">
        <f t="shared" si="87"/>
        <v>4.3100000000000005</v>
      </c>
      <c r="I986" s="32">
        <f t="shared" si="87"/>
        <v>3.4400000000000004</v>
      </c>
      <c r="J986" s="32">
        <f t="shared" si="87"/>
        <v>3.4400000000000004</v>
      </c>
      <c r="K986" s="32">
        <f t="shared" si="87"/>
        <v>0.29000000000000004</v>
      </c>
      <c r="L986" s="32">
        <f t="shared" si="87"/>
        <v>0.35</v>
      </c>
      <c r="M986" s="32">
        <v>0</v>
      </c>
      <c r="N986" s="32">
        <v>0</v>
      </c>
    </row>
    <row r="987" spans="3:14" x14ac:dyDescent="0.2">
      <c r="C987" t="s">
        <v>598</v>
      </c>
      <c r="D987" s="20">
        <f>D979+D986</f>
        <v>30.590000000000003</v>
      </c>
      <c r="E987" s="20">
        <f t="shared" ref="E987:N987" si="88">E979+E986</f>
        <v>33.32</v>
      </c>
      <c r="F987" s="20">
        <f t="shared" si="88"/>
        <v>34.630000000000003</v>
      </c>
      <c r="G987" s="20">
        <f t="shared" si="88"/>
        <v>35.519999999999996</v>
      </c>
      <c r="H987" s="20">
        <f t="shared" si="88"/>
        <v>35</v>
      </c>
      <c r="I987" s="20">
        <f t="shared" si="88"/>
        <v>34.550000000000004</v>
      </c>
      <c r="J987" s="20">
        <f t="shared" si="88"/>
        <v>34.44</v>
      </c>
      <c r="K987" s="20">
        <f t="shared" si="88"/>
        <v>34.67</v>
      </c>
      <c r="L987" s="20">
        <f t="shared" si="88"/>
        <v>35.28</v>
      </c>
      <c r="M987" s="20">
        <f t="shared" si="88"/>
        <v>35.900000000000006</v>
      </c>
      <c r="N987" s="20">
        <f t="shared" si="88"/>
        <v>36.550000000000004</v>
      </c>
    </row>
    <row r="989" spans="3:14" x14ac:dyDescent="0.2">
      <c r="C989" t="s">
        <v>599</v>
      </c>
      <c r="D989">
        <v>32.950000000000003</v>
      </c>
      <c r="E989">
        <v>35.33</v>
      </c>
      <c r="F989">
        <v>36.770000000000003</v>
      </c>
      <c r="G989">
        <v>38.770000000000003</v>
      </c>
      <c r="H989">
        <v>40.25</v>
      </c>
      <c r="I989">
        <v>39.799999999999997</v>
      </c>
      <c r="J989">
        <v>39.68</v>
      </c>
      <c r="K989">
        <v>39.909999999999997</v>
      </c>
      <c r="L989">
        <v>39.76</v>
      </c>
      <c r="M989">
        <v>40.03</v>
      </c>
      <c r="N989">
        <v>40.67</v>
      </c>
    </row>
    <row r="995" spans="2:14" s="2" customFormat="1" ht="15" x14ac:dyDescent="0.25">
      <c r="C995" s="9" t="s">
        <v>661</v>
      </c>
      <c r="D995" s="2" t="s">
        <v>659</v>
      </c>
    </row>
    <row r="996" spans="2:14" s="2" customFormat="1" ht="15" x14ac:dyDescent="0.25">
      <c r="B996" s="2" t="s">
        <v>614</v>
      </c>
    </row>
    <row r="997" spans="2:14" s="2" customFormat="1" ht="15" x14ac:dyDescent="0.25">
      <c r="B997" s="13" t="s">
        <v>615</v>
      </c>
      <c r="D997" s="2">
        <v>2000</v>
      </c>
      <c r="E997" s="2">
        <v>2005</v>
      </c>
      <c r="F997" s="2">
        <v>2010</v>
      </c>
      <c r="G997" s="2">
        <v>2015</v>
      </c>
      <c r="H997" s="2">
        <v>2020</v>
      </c>
      <c r="I997" s="2">
        <v>2025</v>
      </c>
      <c r="J997" s="2">
        <v>2030</v>
      </c>
      <c r="K997" s="2">
        <v>2035</v>
      </c>
      <c r="L997" s="2">
        <v>2040</v>
      </c>
      <c r="M997" s="2">
        <v>2045</v>
      </c>
      <c r="N997" s="2">
        <v>2050</v>
      </c>
    </row>
    <row r="998" spans="2:14" x14ac:dyDescent="0.2">
      <c r="C998" t="s">
        <v>568</v>
      </c>
      <c r="D998">
        <v>20.67</v>
      </c>
      <c r="E998">
        <v>18.78</v>
      </c>
      <c r="F998">
        <v>21.26</v>
      </c>
      <c r="G998">
        <v>21.92</v>
      </c>
      <c r="H998">
        <v>22.98</v>
      </c>
      <c r="I998">
        <v>23.05</v>
      </c>
      <c r="J998">
        <v>23.08</v>
      </c>
      <c r="K998">
        <v>23.13</v>
      </c>
      <c r="L998">
        <v>23.22</v>
      </c>
      <c r="M998">
        <v>23.28</v>
      </c>
      <c r="N998">
        <v>23.29</v>
      </c>
    </row>
    <row r="999" spans="2:14" x14ac:dyDescent="0.2">
      <c r="C999" t="s">
        <v>633</v>
      </c>
      <c r="D999">
        <v>20.67</v>
      </c>
      <c r="E999">
        <v>18.78</v>
      </c>
      <c r="F999">
        <v>21.26</v>
      </c>
      <c r="G999">
        <v>21</v>
      </c>
      <c r="H999">
        <v>20.78</v>
      </c>
      <c r="I999">
        <v>20.58</v>
      </c>
      <c r="J999">
        <v>20.37</v>
      </c>
      <c r="K999">
        <v>20.07</v>
      </c>
      <c r="L999">
        <v>19.82</v>
      </c>
      <c r="M999">
        <v>19.32</v>
      </c>
      <c r="N999">
        <v>18.95</v>
      </c>
    </row>
    <row r="1000" spans="2:14" x14ac:dyDescent="0.2">
      <c r="C1000" t="s">
        <v>603</v>
      </c>
      <c r="D1000" t="s">
        <v>572</v>
      </c>
      <c r="E1000" t="s">
        <v>572</v>
      </c>
      <c r="F1000" t="s">
        <v>572</v>
      </c>
      <c r="G1000">
        <v>0.91</v>
      </c>
      <c r="H1000">
        <v>2.19</v>
      </c>
      <c r="I1000">
        <v>2.4700000000000002</v>
      </c>
      <c r="J1000">
        <v>2.71</v>
      </c>
      <c r="K1000">
        <v>3.06</v>
      </c>
      <c r="L1000">
        <v>3.4</v>
      </c>
      <c r="M1000">
        <v>3.97</v>
      </c>
      <c r="N1000">
        <v>4.34</v>
      </c>
    </row>
    <row r="1001" spans="2:14" x14ac:dyDescent="0.2">
      <c r="C1001" t="s">
        <v>571</v>
      </c>
      <c r="D1001">
        <v>11.01</v>
      </c>
      <c r="E1001">
        <v>7.97</v>
      </c>
      <c r="F1001">
        <v>10.96</v>
      </c>
      <c r="G1001">
        <v>11.08</v>
      </c>
      <c r="H1001">
        <v>9.77</v>
      </c>
      <c r="I1001">
        <v>7.21</v>
      </c>
      <c r="J1001">
        <v>3.97</v>
      </c>
      <c r="K1001" t="s">
        <v>572</v>
      </c>
      <c r="L1001" t="s">
        <v>3</v>
      </c>
      <c r="M1001" t="s">
        <v>3</v>
      </c>
      <c r="N1001" t="s">
        <v>3</v>
      </c>
    </row>
    <row r="1002" spans="2:14" x14ac:dyDescent="0.2">
      <c r="C1002" t="s">
        <v>604</v>
      </c>
      <c r="D1002">
        <v>0.67</v>
      </c>
      <c r="E1002">
        <v>0.82</v>
      </c>
      <c r="F1002">
        <v>0.88</v>
      </c>
      <c r="G1002">
        <v>1.07</v>
      </c>
      <c r="H1002">
        <v>1.23</v>
      </c>
      <c r="I1002">
        <v>1.3</v>
      </c>
      <c r="J1002">
        <v>1.38</v>
      </c>
      <c r="K1002">
        <v>2.19</v>
      </c>
      <c r="L1002">
        <v>1.31</v>
      </c>
      <c r="M1002">
        <v>1.31</v>
      </c>
      <c r="N1002">
        <v>1.31</v>
      </c>
    </row>
    <row r="1003" spans="2:14" x14ac:dyDescent="0.2">
      <c r="C1003" t="s">
        <v>605</v>
      </c>
      <c r="D1003">
        <v>0.67</v>
      </c>
      <c r="E1003">
        <v>0.82</v>
      </c>
      <c r="F1003">
        <v>0.88</v>
      </c>
      <c r="G1003">
        <v>0.71</v>
      </c>
      <c r="H1003">
        <v>0.62</v>
      </c>
      <c r="I1003">
        <v>0.38</v>
      </c>
      <c r="J1003">
        <v>0.24</v>
      </c>
      <c r="K1003">
        <v>0.14000000000000001</v>
      </c>
      <c r="L1003" t="s">
        <v>572</v>
      </c>
      <c r="M1003" t="s">
        <v>3</v>
      </c>
      <c r="N1003" t="s">
        <v>3</v>
      </c>
    </row>
    <row r="1004" spans="2:14" x14ac:dyDescent="0.2">
      <c r="C1004" t="s">
        <v>606</v>
      </c>
      <c r="D1004" t="s">
        <v>3</v>
      </c>
      <c r="E1004" t="s">
        <v>3</v>
      </c>
      <c r="F1004" t="s">
        <v>3</v>
      </c>
      <c r="G1004" t="s">
        <v>3</v>
      </c>
      <c r="H1004" t="s">
        <v>3</v>
      </c>
      <c r="I1004" t="s">
        <v>3</v>
      </c>
      <c r="J1004" t="s">
        <v>3</v>
      </c>
      <c r="K1004">
        <v>0.82</v>
      </c>
      <c r="L1004" t="s">
        <v>572</v>
      </c>
      <c r="M1004" t="s">
        <v>3</v>
      </c>
      <c r="N1004" t="s">
        <v>3</v>
      </c>
    </row>
    <row r="1005" spans="2:14" x14ac:dyDescent="0.2">
      <c r="C1005" t="s">
        <v>607</v>
      </c>
      <c r="D1005" t="s">
        <v>3</v>
      </c>
      <c r="E1005" t="s">
        <v>3</v>
      </c>
      <c r="F1005" t="s">
        <v>3</v>
      </c>
      <c r="G1005">
        <v>0.36</v>
      </c>
      <c r="H1005">
        <v>0.61</v>
      </c>
      <c r="I1005">
        <v>0.92</v>
      </c>
      <c r="J1005">
        <v>1.1499999999999999</v>
      </c>
      <c r="K1005">
        <v>1.23</v>
      </c>
      <c r="L1005">
        <v>1.31</v>
      </c>
      <c r="M1005">
        <v>1.31</v>
      </c>
      <c r="N1005">
        <v>1.31</v>
      </c>
    </row>
    <row r="1006" spans="2:14" x14ac:dyDescent="0.2">
      <c r="C1006" t="s">
        <v>608</v>
      </c>
      <c r="D1006">
        <v>0.36</v>
      </c>
      <c r="E1006">
        <v>0.45</v>
      </c>
      <c r="F1006">
        <v>0.62</v>
      </c>
      <c r="G1006">
        <v>1.07</v>
      </c>
      <c r="H1006">
        <v>1.66</v>
      </c>
      <c r="I1006">
        <v>2.6</v>
      </c>
      <c r="J1006">
        <v>3.96</v>
      </c>
      <c r="K1006">
        <v>6.34</v>
      </c>
      <c r="L1006">
        <v>8.8800000000000008</v>
      </c>
      <c r="M1006">
        <v>11.58</v>
      </c>
      <c r="N1006">
        <v>13.75</v>
      </c>
    </row>
    <row r="1007" spans="2:14" x14ac:dyDescent="0.2">
      <c r="C1007" t="s">
        <v>609</v>
      </c>
      <c r="D1007">
        <v>0.36</v>
      </c>
      <c r="E1007">
        <v>0.45</v>
      </c>
      <c r="F1007">
        <v>0.62</v>
      </c>
      <c r="G1007">
        <v>0.47</v>
      </c>
      <c r="H1007">
        <v>0.42</v>
      </c>
      <c r="I1007">
        <v>0.32</v>
      </c>
      <c r="J1007">
        <v>0.19</v>
      </c>
      <c r="K1007">
        <v>0.04</v>
      </c>
      <c r="L1007">
        <v>0</v>
      </c>
      <c r="M1007" t="s">
        <v>3</v>
      </c>
      <c r="N1007" t="s">
        <v>3</v>
      </c>
    </row>
    <row r="1008" spans="2:14" x14ac:dyDescent="0.2">
      <c r="C1008" t="s">
        <v>610</v>
      </c>
      <c r="D1008" t="s">
        <v>572</v>
      </c>
      <c r="E1008" t="s">
        <v>3</v>
      </c>
      <c r="F1008" t="s">
        <v>3</v>
      </c>
      <c r="G1008">
        <v>0.6</v>
      </c>
      <c r="H1008">
        <v>1.25</v>
      </c>
      <c r="I1008">
        <v>2.2799999999999998</v>
      </c>
      <c r="J1008">
        <v>3.77</v>
      </c>
      <c r="K1008">
        <v>6.3</v>
      </c>
      <c r="L1008">
        <v>8.8800000000000008</v>
      </c>
      <c r="M1008">
        <v>11.58</v>
      </c>
      <c r="N1008">
        <v>13.75</v>
      </c>
    </row>
    <row r="1009" spans="3:14" x14ac:dyDescent="0.2">
      <c r="C1009" t="s">
        <v>580</v>
      </c>
      <c r="D1009">
        <v>0.01</v>
      </c>
      <c r="E1009">
        <v>0.01</v>
      </c>
      <c r="F1009">
        <v>0.06</v>
      </c>
      <c r="G1009">
        <v>0.21</v>
      </c>
      <c r="H1009">
        <v>0.38</v>
      </c>
      <c r="I1009">
        <v>0.71</v>
      </c>
      <c r="J1009">
        <v>1.39</v>
      </c>
      <c r="K1009">
        <v>3.24</v>
      </c>
      <c r="L1009">
        <v>4.92</v>
      </c>
      <c r="M1009">
        <v>6.74</v>
      </c>
      <c r="N1009">
        <v>8.1199999999999992</v>
      </c>
    </row>
    <row r="1010" spans="3:14" x14ac:dyDescent="0.2">
      <c r="C1010" t="s">
        <v>581</v>
      </c>
      <c r="D1010">
        <v>0</v>
      </c>
      <c r="E1010">
        <v>0</v>
      </c>
      <c r="F1010">
        <v>0.01</v>
      </c>
      <c r="G1010">
        <v>0.14000000000000001</v>
      </c>
      <c r="H1010">
        <v>0.26</v>
      </c>
      <c r="I1010">
        <v>0.39</v>
      </c>
      <c r="J1010">
        <v>0.57999999999999996</v>
      </c>
      <c r="K1010">
        <v>0.7</v>
      </c>
      <c r="L1010">
        <v>1.04</v>
      </c>
      <c r="M1010">
        <v>1.37</v>
      </c>
      <c r="N1010">
        <v>1.7</v>
      </c>
    </row>
    <row r="1011" spans="3:14" x14ac:dyDescent="0.2">
      <c r="C1011" t="s">
        <v>582</v>
      </c>
      <c r="D1011" t="s">
        <v>3</v>
      </c>
      <c r="E1011" t="s">
        <v>3</v>
      </c>
      <c r="F1011" t="s">
        <v>3</v>
      </c>
      <c r="G1011" t="s">
        <v>3</v>
      </c>
      <c r="H1011" t="s">
        <v>3</v>
      </c>
      <c r="I1011" t="s">
        <v>3</v>
      </c>
      <c r="J1011" t="s">
        <v>3</v>
      </c>
      <c r="K1011" t="s">
        <v>3</v>
      </c>
      <c r="L1011" t="s">
        <v>3</v>
      </c>
      <c r="M1011" t="s">
        <v>3</v>
      </c>
      <c r="N1011" t="s">
        <v>3</v>
      </c>
    </row>
    <row r="1012" spans="3:14" x14ac:dyDescent="0.2">
      <c r="C1012" t="s">
        <v>47</v>
      </c>
      <c r="D1012" t="s">
        <v>3</v>
      </c>
      <c r="E1012" t="s">
        <v>3</v>
      </c>
      <c r="F1012" t="s">
        <v>3</v>
      </c>
      <c r="G1012">
        <v>0.05</v>
      </c>
      <c r="H1012">
        <v>0.1</v>
      </c>
      <c r="I1012">
        <v>0.2</v>
      </c>
      <c r="J1012">
        <v>0.39</v>
      </c>
      <c r="K1012">
        <v>0.72</v>
      </c>
      <c r="L1012">
        <v>1.2</v>
      </c>
      <c r="M1012">
        <v>1.74</v>
      </c>
      <c r="N1012">
        <v>2.19</v>
      </c>
    </row>
    <row r="1013" spans="3:14" x14ac:dyDescent="0.2">
      <c r="C1013" t="s">
        <v>583</v>
      </c>
      <c r="D1013">
        <v>0.01</v>
      </c>
      <c r="E1013">
        <v>0.01</v>
      </c>
      <c r="F1013">
        <v>0.04</v>
      </c>
      <c r="G1013">
        <v>0.1</v>
      </c>
      <c r="H1013">
        <v>0.19</v>
      </c>
      <c r="I1013">
        <v>0.31</v>
      </c>
      <c r="J1013">
        <v>0.39</v>
      </c>
      <c r="K1013">
        <v>0.4</v>
      </c>
      <c r="L1013">
        <v>0.4</v>
      </c>
      <c r="M1013">
        <v>0.4</v>
      </c>
      <c r="N1013">
        <v>0.41</v>
      </c>
    </row>
    <row r="1014" spans="3:14" x14ac:dyDescent="0.2">
      <c r="C1014" t="s">
        <v>584</v>
      </c>
      <c r="D1014">
        <v>0</v>
      </c>
      <c r="E1014">
        <v>0.01</v>
      </c>
      <c r="F1014">
        <v>0.03</v>
      </c>
      <c r="G1014">
        <v>0.08</v>
      </c>
      <c r="H1014">
        <v>0.18</v>
      </c>
      <c r="I1014">
        <v>0.34</v>
      </c>
      <c r="J1014">
        <v>0.5</v>
      </c>
      <c r="K1014">
        <v>0.56999999999999995</v>
      </c>
      <c r="L1014">
        <v>0.6</v>
      </c>
      <c r="M1014">
        <v>0.61</v>
      </c>
      <c r="N1014">
        <v>0.61</v>
      </c>
    </row>
    <row r="1015" spans="3:14" x14ac:dyDescent="0.2">
      <c r="C1015" t="s">
        <v>585</v>
      </c>
      <c r="D1015">
        <v>0.04</v>
      </c>
      <c r="E1015">
        <v>0.04</v>
      </c>
      <c r="F1015">
        <v>0.05</v>
      </c>
      <c r="G1015">
        <v>0.04</v>
      </c>
      <c r="H1015">
        <v>7.0000000000000007E-2</v>
      </c>
      <c r="I1015">
        <v>0.09</v>
      </c>
      <c r="J1015">
        <v>0.11</v>
      </c>
      <c r="K1015">
        <v>0.12</v>
      </c>
      <c r="L1015">
        <v>0.12</v>
      </c>
      <c r="M1015">
        <v>0.12</v>
      </c>
      <c r="N1015">
        <v>0.12</v>
      </c>
    </row>
    <row r="1016" spans="3:14" x14ac:dyDescent="0.2">
      <c r="C1016" t="s">
        <v>586</v>
      </c>
      <c r="D1016">
        <v>0.28999999999999998</v>
      </c>
      <c r="E1016">
        <v>0.36</v>
      </c>
      <c r="F1016">
        <v>0.41</v>
      </c>
      <c r="G1016">
        <v>0.45</v>
      </c>
      <c r="H1016">
        <v>0.49</v>
      </c>
      <c r="I1016">
        <v>0.56000000000000005</v>
      </c>
      <c r="J1016">
        <v>0.59</v>
      </c>
      <c r="K1016">
        <v>0.6</v>
      </c>
      <c r="L1016">
        <v>0.6</v>
      </c>
      <c r="M1016">
        <v>0.6</v>
      </c>
      <c r="N1016">
        <v>0.6</v>
      </c>
    </row>
    <row r="1017" spans="3:14" x14ac:dyDescent="0.2">
      <c r="C1017" t="s">
        <v>587</v>
      </c>
      <c r="D1017">
        <v>0.02</v>
      </c>
      <c r="E1017">
        <v>0.01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</row>
    <row r="1018" spans="3:14" x14ac:dyDescent="0.2">
      <c r="C1018" t="s">
        <v>588</v>
      </c>
      <c r="D1018" s="20">
        <f t="shared" ref="D1018:J1018" si="89">D998+D1001+D1002+D1006</f>
        <v>32.71</v>
      </c>
      <c r="E1018" s="20">
        <f t="shared" si="89"/>
        <v>28.02</v>
      </c>
      <c r="F1018" s="20">
        <f t="shared" si="89"/>
        <v>33.72</v>
      </c>
      <c r="G1018" s="20">
        <f t="shared" si="89"/>
        <v>35.14</v>
      </c>
      <c r="H1018" s="20">
        <f t="shared" si="89"/>
        <v>35.639999999999993</v>
      </c>
      <c r="I1018" s="20">
        <f t="shared" si="89"/>
        <v>34.160000000000004</v>
      </c>
      <c r="J1018" s="20">
        <f t="shared" si="89"/>
        <v>32.389999999999993</v>
      </c>
      <c r="K1018" s="20">
        <f>K998+K1002+K1006</f>
        <v>31.66</v>
      </c>
      <c r="L1018" s="20">
        <f>L998+L1002+L1006</f>
        <v>33.409999999999997</v>
      </c>
      <c r="M1018" s="20">
        <f>M998+M1002+M1006</f>
        <v>36.17</v>
      </c>
      <c r="N1018" s="20">
        <f>N998+N1002+N1006</f>
        <v>38.349999999999994</v>
      </c>
    </row>
    <row r="1019" spans="3:14" x14ac:dyDescent="0.2">
      <c r="C1019" t="s">
        <v>589</v>
      </c>
      <c r="D1019">
        <v>-1.33</v>
      </c>
      <c r="E1019">
        <v>-1.33</v>
      </c>
      <c r="F1019">
        <v>-1.53</v>
      </c>
      <c r="G1019">
        <v>-2.21</v>
      </c>
      <c r="H1019">
        <v>-3.42</v>
      </c>
      <c r="I1019">
        <v>-3.42</v>
      </c>
      <c r="J1019">
        <v>-3.42</v>
      </c>
      <c r="K1019">
        <v>-3.42</v>
      </c>
      <c r="L1019">
        <v>-3.42</v>
      </c>
      <c r="M1019">
        <v>-3.42</v>
      </c>
      <c r="N1019">
        <v>-3.42</v>
      </c>
    </row>
    <row r="1020" spans="3:14" x14ac:dyDescent="0.2">
      <c r="C1020" s="14" t="s">
        <v>590</v>
      </c>
      <c r="D1020" s="32">
        <f>D1018+D1019</f>
        <v>31.380000000000003</v>
      </c>
      <c r="E1020" s="32">
        <f t="shared" ref="E1020:N1020" si="90">E1018+E1019</f>
        <v>26.689999999999998</v>
      </c>
      <c r="F1020" s="32">
        <f t="shared" si="90"/>
        <v>32.19</v>
      </c>
      <c r="G1020" s="32">
        <f t="shared" si="90"/>
        <v>32.93</v>
      </c>
      <c r="H1020" s="32">
        <f t="shared" si="90"/>
        <v>32.219999999999992</v>
      </c>
      <c r="I1020" s="32">
        <f t="shared" si="90"/>
        <v>30.740000000000002</v>
      </c>
      <c r="J1020" s="32">
        <f t="shared" si="90"/>
        <v>28.969999999999992</v>
      </c>
      <c r="K1020" s="32">
        <f t="shared" si="90"/>
        <v>28.240000000000002</v>
      </c>
      <c r="L1020" s="32">
        <f t="shared" si="90"/>
        <v>29.989999999999995</v>
      </c>
      <c r="M1020" s="32">
        <f t="shared" si="90"/>
        <v>32.75</v>
      </c>
      <c r="N1020" s="32">
        <f t="shared" si="90"/>
        <v>34.929999999999993</v>
      </c>
    </row>
    <row r="1021" spans="3:14" x14ac:dyDescent="0.2">
      <c r="C1021" t="s">
        <v>591</v>
      </c>
      <c r="D1021">
        <v>8.56</v>
      </c>
      <c r="E1021">
        <v>8.2200000000000006</v>
      </c>
      <c r="F1021">
        <v>7.88</v>
      </c>
      <c r="G1021">
        <v>7.88</v>
      </c>
      <c r="H1021">
        <v>4.5999999999999996</v>
      </c>
      <c r="I1021">
        <v>3.85</v>
      </c>
      <c r="J1021">
        <v>3.85</v>
      </c>
      <c r="K1021">
        <v>1.19</v>
      </c>
      <c r="L1021">
        <v>0.6</v>
      </c>
      <c r="M1021" t="s">
        <v>572</v>
      </c>
      <c r="N1021" t="s">
        <v>3</v>
      </c>
    </row>
    <row r="1022" spans="3:14" x14ac:dyDescent="0.2">
      <c r="C1022" t="s">
        <v>592</v>
      </c>
      <c r="D1022">
        <v>8.56</v>
      </c>
      <c r="E1022">
        <v>8.2200000000000006</v>
      </c>
      <c r="F1022">
        <v>7.88</v>
      </c>
      <c r="G1022">
        <v>7.88</v>
      </c>
      <c r="H1022">
        <v>4.5999999999999996</v>
      </c>
      <c r="I1022">
        <v>3.85</v>
      </c>
      <c r="J1022">
        <v>3.85</v>
      </c>
      <c r="K1022">
        <v>1.19</v>
      </c>
      <c r="L1022">
        <v>0.6</v>
      </c>
      <c r="M1022" t="s">
        <v>572</v>
      </c>
      <c r="N1022" t="s">
        <v>3</v>
      </c>
    </row>
    <row r="1023" spans="3:14" x14ac:dyDescent="0.2">
      <c r="C1023" t="s">
        <v>593</v>
      </c>
      <c r="D1023" t="s">
        <v>3</v>
      </c>
      <c r="E1023" t="s">
        <v>572</v>
      </c>
      <c r="F1023" t="s">
        <v>572</v>
      </c>
      <c r="G1023" t="s">
        <v>3</v>
      </c>
      <c r="H1023" t="s">
        <v>3</v>
      </c>
      <c r="I1023" t="s">
        <v>3</v>
      </c>
      <c r="J1023" t="s">
        <v>3</v>
      </c>
      <c r="K1023" t="s">
        <v>3</v>
      </c>
      <c r="L1023" t="s">
        <v>3</v>
      </c>
      <c r="M1023" t="s">
        <v>3</v>
      </c>
      <c r="N1023" t="s">
        <v>3</v>
      </c>
    </row>
    <row r="1024" spans="3:14" x14ac:dyDescent="0.2">
      <c r="C1024" t="s">
        <v>594</v>
      </c>
      <c r="D1024">
        <v>14.39</v>
      </c>
      <c r="E1024">
        <v>6.9</v>
      </c>
      <c r="F1024">
        <v>11.09</v>
      </c>
      <c r="G1024">
        <v>11.24</v>
      </c>
      <c r="H1024">
        <v>7.82</v>
      </c>
      <c r="I1024">
        <v>6.1</v>
      </c>
      <c r="J1024">
        <v>4.58</v>
      </c>
      <c r="K1024">
        <v>1.1399999999999999</v>
      </c>
      <c r="L1024">
        <v>1.93</v>
      </c>
      <c r="M1024">
        <v>3.73</v>
      </c>
      <c r="N1024">
        <v>5.53</v>
      </c>
    </row>
    <row r="1025" spans="3:14" x14ac:dyDescent="0.2">
      <c r="C1025" t="s">
        <v>612</v>
      </c>
      <c r="D1025">
        <v>1.35</v>
      </c>
      <c r="E1025">
        <v>1.1399999999999999</v>
      </c>
      <c r="F1025">
        <v>1.1399999999999999</v>
      </c>
      <c r="G1025">
        <v>1.1399999999999999</v>
      </c>
      <c r="H1025">
        <v>1.1399999999999999</v>
      </c>
      <c r="I1025">
        <v>1.1399999999999999</v>
      </c>
      <c r="J1025">
        <v>1.1399999999999999</v>
      </c>
      <c r="K1025">
        <v>1.1399999999999999</v>
      </c>
      <c r="L1025">
        <v>0.3</v>
      </c>
      <c r="M1025" t="s">
        <v>572</v>
      </c>
      <c r="N1025" t="s">
        <v>3</v>
      </c>
    </row>
    <row r="1026" spans="3:14" x14ac:dyDescent="0.2">
      <c r="C1026" t="s">
        <v>596</v>
      </c>
      <c r="D1026">
        <v>13.04</v>
      </c>
      <c r="E1026">
        <v>5.76</v>
      </c>
      <c r="F1026">
        <v>9.9600000000000009</v>
      </c>
      <c r="G1026">
        <v>10.1</v>
      </c>
      <c r="H1026">
        <v>6.69</v>
      </c>
      <c r="I1026">
        <v>4.96</v>
      </c>
      <c r="J1026">
        <v>3.44</v>
      </c>
      <c r="K1026" t="s">
        <v>572</v>
      </c>
      <c r="L1026">
        <v>1.63</v>
      </c>
      <c r="M1026">
        <v>3.73</v>
      </c>
      <c r="N1026">
        <v>5.53</v>
      </c>
    </row>
    <row r="1027" spans="3:14" x14ac:dyDescent="0.2">
      <c r="C1027" s="14" t="s">
        <v>597</v>
      </c>
      <c r="D1027" s="32">
        <f>D1021-D1024</f>
        <v>-5.83</v>
      </c>
      <c r="E1027" s="32">
        <f t="shared" ref="E1027:L1027" si="91">E1021-E1024</f>
        <v>1.3200000000000003</v>
      </c>
      <c r="F1027" s="32">
        <f t="shared" si="91"/>
        <v>-3.21</v>
      </c>
      <c r="G1027" s="32">
        <f t="shared" si="91"/>
        <v>-3.3600000000000003</v>
      </c>
      <c r="H1027" s="32">
        <f t="shared" si="91"/>
        <v>-3.2200000000000006</v>
      </c>
      <c r="I1027" s="32">
        <f t="shared" si="91"/>
        <v>-2.2499999999999996</v>
      </c>
      <c r="J1027" s="32">
        <f t="shared" si="91"/>
        <v>-0.73</v>
      </c>
      <c r="K1027" s="32">
        <f t="shared" si="91"/>
        <v>5.0000000000000044E-2</v>
      </c>
      <c r="L1027" s="32">
        <f t="shared" si="91"/>
        <v>-1.33</v>
      </c>
      <c r="M1027" s="32">
        <v>0</v>
      </c>
      <c r="N1027" s="32">
        <v>0</v>
      </c>
    </row>
    <row r="1028" spans="3:14" x14ac:dyDescent="0.2">
      <c r="C1028" t="s">
        <v>598</v>
      </c>
      <c r="D1028" s="20">
        <f>D1020+D1027</f>
        <v>25.550000000000004</v>
      </c>
      <c r="E1028" s="20">
        <f t="shared" ref="E1028:N1028" si="92">E1020+E1027</f>
        <v>28.009999999999998</v>
      </c>
      <c r="F1028" s="20">
        <f t="shared" si="92"/>
        <v>28.979999999999997</v>
      </c>
      <c r="G1028" s="20">
        <f t="shared" si="92"/>
        <v>29.57</v>
      </c>
      <c r="H1028" s="20">
        <f t="shared" si="92"/>
        <v>28.999999999999993</v>
      </c>
      <c r="I1028" s="20">
        <f t="shared" si="92"/>
        <v>28.490000000000002</v>
      </c>
      <c r="J1028" s="20">
        <f t="shared" si="92"/>
        <v>28.239999999999991</v>
      </c>
      <c r="K1028" s="20">
        <f t="shared" si="92"/>
        <v>28.290000000000003</v>
      </c>
      <c r="L1028" s="20">
        <f t="shared" si="92"/>
        <v>28.659999999999997</v>
      </c>
      <c r="M1028" s="20">
        <f t="shared" si="92"/>
        <v>32.75</v>
      </c>
      <c r="N1028" s="20">
        <f t="shared" si="92"/>
        <v>34.929999999999993</v>
      </c>
    </row>
    <row r="1030" spans="3:14" x14ac:dyDescent="0.2">
      <c r="C1030" t="s">
        <v>599</v>
      </c>
      <c r="D1030">
        <v>28.23</v>
      </c>
      <c r="E1030">
        <v>30.48</v>
      </c>
      <c r="F1030">
        <v>31.64</v>
      </c>
      <c r="G1030">
        <v>32.909999999999997</v>
      </c>
      <c r="H1030">
        <v>33.56</v>
      </c>
      <c r="I1030">
        <v>33.04</v>
      </c>
      <c r="J1030">
        <v>32.799999999999997</v>
      </c>
      <c r="K1030">
        <v>32.86</v>
      </c>
      <c r="L1030">
        <v>32.369999999999997</v>
      </c>
      <c r="M1030">
        <v>32.450000000000003</v>
      </c>
      <c r="N1030">
        <v>32.82</v>
      </c>
    </row>
    <row r="1036" spans="3:14" x14ac:dyDescent="0.2">
      <c r="C1036" t="s">
        <v>616</v>
      </c>
    </row>
    <row r="1038" spans="3:14" s="2" customFormat="1" ht="15" x14ac:dyDescent="0.25">
      <c r="C1038" s="9" t="s">
        <v>662</v>
      </c>
      <c r="D1038" s="2" t="s">
        <v>659</v>
      </c>
    </row>
    <row r="1039" spans="3:14" s="2" customFormat="1" ht="15" x14ac:dyDescent="0.25">
      <c r="C1039" s="2" t="s">
        <v>618</v>
      </c>
    </row>
    <row r="1040" spans="3:14" s="2" customFormat="1" ht="15" x14ac:dyDescent="0.25">
      <c r="D1040" s="2">
        <v>2000</v>
      </c>
      <c r="E1040" s="2">
        <v>2005</v>
      </c>
      <c r="F1040" s="2">
        <v>2010</v>
      </c>
      <c r="G1040" s="2">
        <v>2015</v>
      </c>
      <c r="H1040" s="2">
        <v>2020</v>
      </c>
      <c r="I1040" s="2">
        <v>2025</v>
      </c>
      <c r="J1040" s="2">
        <v>2030</v>
      </c>
      <c r="K1040" s="2">
        <v>2035</v>
      </c>
      <c r="L1040" s="2">
        <v>2040</v>
      </c>
      <c r="M1040" s="2">
        <v>2045</v>
      </c>
      <c r="N1040" s="2">
        <v>2050</v>
      </c>
    </row>
    <row r="1041" spans="3:14" x14ac:dyDescent="0.2">
      <c r="C1041" t="s">
        <v>619</v>
      </c>
      <c r="D1041">
        <v>2.9</v>
      </c>
      <c r="E1041">
        <v>2.2000000000000002</v>
      </c>
      <c r="F1041">
        <v>2.2000000000000002</v>
      </c>
      <c r="G1041">
        <v>2.7</v>
      </c>
      <c r="H1041">
        <v>2.7</v>
      </c>
      <c r="I1041">
        <v>2.9</v>
      </c>
      <c r="J1041">
        <v>3</v>
      </c>
      <c r="K1041">
        <v>2.4</v>
      </c>
      <c r="L1041">
        <v>2.4</v>
      </c>
      <c r="M1041">
        <v>2.4</v>
      </c>
      <c r="N1041">
        <v>2.4</v>
      </c>
    </row>
    <row r="1042" spans="3:14" x14ac:dyDescent="0.2">
      <c r="C1042" t="s">
        <v>332</v>
      </c>
      <c r="D1042">
        <v>10.9</v>
      </c>
      <c r="E1042">
        <v>11.7</v>
      </c>
      <c r="F1042">
        <v>11.6</v>
      </c>
      <c r="G1042">
        <v>15.9</v>
      </c>
      <c r="H1042">
        <v>18.7</v>
      </c>
      <c r="I1042">
        <v>31.5</v>
      </c>
      <c r="J1042">
        <v>45.4</v>
      </c>
      <c r="K1042">
        <v>87.9</v>
      </c>
      <c r="L1042">
        <v>73.900000000000006</v>
      </c>
      <c r="M1042">
        <v>67.599999999999994</v>
      </c>
      <c r="N1042">
        <v>60.7</v>
      </c>
    </row>
    <row r="1043" spans="3:14" x14ac:dyDescent="0.2">
      <c r="C1043" t="s">
        <v>101</v>
      </c>
      <c r="D1043">
        <v>2.2000000000000002</v>
      </c>
      <c r="E1043">
        <v>2.7</v>
      </c>
      <c r="F1043">
        <v>5.9</v>
      </c>
      <c r="G1043">
        <v>11.2</v>
      </c>
      <c r="H1043">
        <v>19.600000000000001</v>
      </c>
      <c r="I1043">
        <v>31.7</v>
      </c>
      <c r="J1043">
        <v>40.4</v>
      </c>
      <c r="K1043">
        <v>41.5</v>
      </c>
      <c r="L1043">
        <v>41.3</v>
      </c>
      <c r="M1043">
        <v>40</v>
      </c>
      <c r="N1043">
        <v>38.4</v>
      </c>
    </row>
    <row r="1044" spans="3:14" x14ac:dyDescent="0.2">
      <c r="C1044" t="s">
        <v>620</v>
      </c>
      <c r="D1044">
        <v>42.3</v>
      </c>
      <c r="E1044">
        <v>51.8</v>
      </c>
      <c r="F1044">
        <v>56.6</v>
      </c>
      <c r="G1044">
        <v>48.9</v>
      </c>
      <c r="H1044">
        <v>52.7</v>
      </c>
      <c r="I1044">
        <v>55.3</v>
      </c>
      <c r="J1044">
        <v>57.1</v>
      </c>
      <c r="K1044">
        <v>56.4</v>
      </c>
      <c r="L1044">
        <v>56</v>
      </c>
      <c r="M1044">
        <v>53.8</v>
      </c>
      <c r="N1044">
        <v>53.1</v>
      </c>
    </row>
    <row r="1045" spans="3:14" x14ac:dyDescent="0.2">
      <c r="C1045" t="s">
        <v>621</v>
      </c>
      <c r="D1045">
        <v>261.89999999999998</v>
      </c>
      <c r="E1045">
        <v>233</v>
      </c>
      <c r="F1045">
        <v>266.10000000000002</v>
      </c>
      <c r="G1045">
        <v>260.10000000000002</v>
      </c>
      <c r="H1045">
        <v>228.6</v>
      </c>
      <c r="I1045">
        <v>166.6</v>
      </c>
      <c r="J1045">
        <v>90.6</v>
      </c>
      <c r="K1045">
        <v>0</v>
      </c>
      <c r="L1045">
        <v>0</v>
      </c>
      <c r="M1045">
        <v>0</v>
      </c>
      <c r="N1045">
        <v>0</v>
      </c>
    </row>
    <row r="1046" spans="3:14" x14ac:dyDescent="0.2">
      <c r="C1046" t="s">
        <v>132</v>
      </c>
      <c r="D1046">
        <v>138.19999999999999</v>
      </c>
      <c r="E1046">
        <v>123.6</v>
      </c>
      <c r="F1046">
        <v>127.5</v>
      </c>
      <c r="G1046">
        <v>140.4</v>
      </c>
      <c r="H1046">
        <v>151.1</v>
      </c>
      <c r="I1046">
        <v>152.5</v>
      </c>
      <c r="J1046">
        <v>153.6</v>
      </c>
      <c r="K1046">
        <v>154.9</v>
      </c>
      <c r="L1046">
        <v>156.4</v>
      </c>
      <c r="M1046">
        <v>157.69999999999999</v>
      </c>
      <c r="N1046">
        <v>158.9</v>
      </c>
    </row>
    <row r="1047" spans="3:14" x14ac:dyDescent="0.2">
      <c r="C1047" t="s">
        <v>622</v>
      </c>
      <c r="D1047">
        <v>0</v>
      </c>
      <c r="E1047">
        <v>0</v>
      </c>
      <c r="F1047">
        <v>0.1</v>
      </c>
      <c r="G1047">
        <v>1.3</v>
      </c>
      <c r="H1047">
        <v>2.4</v>
      </c>
      <c r="I1047">
        <v>3.6</v>
      </c>
      <c r="J1047">
        <v>5.3</v>
      </c>
      <c r="K1047">
        <v>6.3</v>
      </c>
      <c r="L1047">
        <v>9.3000000000000007</v>
      </c>
      <c r="M1047">
        <v>12.3</v>
      </c>
      <c r="N1047">
        <v>15.3</v>
      </c>
    </row>
    <row r="1048" spans="3:14" x14ac:dyDescent="0.2">
      <c r="C1048" t="s">
        <v>623</v>
      </c>
      <c r="D1048">
        <v>0</v>
      </c>
      <c r="E1048">
        <v>0.1</v>
      </c>
      <c r="F1048">
        <v>0.3</v>
      </c>
      <c r="G1048">
        <v>1</v>
      </c>
      <c r="H1048">
        <v>1.9</v>
      </c>
      <c r="I1048">
        <v>3.5</v>
      </c>
      <c r="J1048">
        <v>6.9</v>
      </c>
      <c r="K1048">
        <v>16</v>
      </c>
      <c r="L1048">
        <v>24.3</v>
      </c>
      <c r="M1048">
        <v>33.200000000000003</v>
      </c>
      <c r="N1048">
        <v>40</v>
      </c>
    </row>
    <row r="1049" spans="3:14" x14ac:dyDescent="0.2">
      <c r="C1049" t="s">
        <v>47</v>
      </c>
      <c r="D1049">
        <v>0</v>
      </c>
      <c r="E1049">
        <v>0</v>
      </c>
      <c r="F1049">
        <v>0</v>
      </c>
      <c r="G1049">
        <v>0.4</v>
      </c>
      <c r="H1049">
        <v>0.7</v>
      </c>
      <c r="I1049">
        <v>1.4</v>
      </c>
      <c r="J1049">
        <v>2.8</v>
      </c>
      <c r="K1049">
        <v>5.0999999999999996</v>
      </c>
      <c r="L1049">
        <v>8.6999999999999993</v>
      </c>
      <c r="M1049">
        <v>12.5</v>
      </c>
      <c r="N1049">
        <v>15.8</v>
      </c>
    </row>
    <row r="1050" spans="3:14" x14ac:dyDescent="0.2">
      <c r="C1050" t="s">
        <v>624</v>
      </c>
      <c r="D1050">
        <v>458.3</v>
      </c>
      <c r="E1050">
        <v>425.1</v>
      </c>
      <c r="F1050">
        <v>470.3</v>
      </c>
      <c r="G1050">
        <v>481.8</v>
      </c>
      <c r="H1050">
        <v>478.3</v>
      </c>
      <c r="I1050">
        <v>449</v>
      </c>
      <c r="J1050">
        <v>405</v>
      </c>
      <c r="K1050">
        <v>370.6</v>
      </c>
      <c r="L1050">
        <v>372.3</v>
      </c>
      <c r="M1050">
        <v>379.6</v>
      </c>
      <c r="N1050">
        <v>384.6</v>
      </c>
    </row>
    <row r="1051" spans="3:14" x14ac:dyDescent="0.2">
      <c r="C1051" t="s">
        <v>625</v>
      </c>
      <c r="D1051">
        <v>-26.5</v>
      </c>
      <c r="E1051">
        <v>15.2</v>
      </c>
      <c r="F1051">
        <v>7.4</v>
      </c>
      <c r="G1051">
        <v>2.8</v>
      </c>
      <c r="H1051">
        <v>3.9</v>
      </c>
      <c r="I1051">
        <v>4.3</v>
      </c>
      <c r="J1051">
        <v>9.8000000000000007</v>
      </c>
      <c r="K1051">
        <v>1.3</v>
      </c>
      <c r="L1051">
        <v>-3.6</v>
      </c>
      <c r="M1051">
        <v>-13.4</v>
      </c>
      <c r="N1051">
        <v>-19.899999999999999</v>
      </c>
    </row>
    <row r="1052" spans="3:14" x14ac:dyDescent="0.2">
      <c r="C1052" t="s">
        <v>626</v>
      </c>
      <c r="D1052">
        <v>-7.5</v>
      </c>
      <c r="E1052">
        <v>-8.1999999999999993</v>
      </c>
      <c r="F1052">
        <v>-9.5</v>
      </c>
      <c r="G1052">
        <v>-14.3</v>
      </c>
      <c r="H1052">
        <v>-19.399999999999999</v>
      </c>
      <c r="I1052">
        <v>-25.3</v>
      </c>
      <c r="J1052">
        <v>-29.9</v>
      </c>
      <c r="K1052">
        <v>-29.8</v>
      </c>
      <c r="L1052">
        <v>-29.2</v>
      </c>
      <c r="M1052">
        <v>-28.9</v>
      </c>
      <c r="N1052">
        <v>-28.3</v>
      </c>
    </row>
    <row r="1053" spans="3:14" x14ac:dyDescent="0.2">
      <c r="C1053" t="s">
        <v>627</v>
      </c>
      <c r="D1053">
        <v>424.3</v>
      </c>
      <c r="E1053">
        <v>432.2</v>
      </c>
      <c r="F1053">
        <v>468.1</v>
      </c>
      <c r="G1053">
        <v>470.3</v>
      </c>
      <c r="H1053">
        <v>462.8</v>
      </c>
      <c r="I1053">
        <v>427.9</v>
      </c>
      <c r="J1053">
        <v>384.9</v>
      </c>
      <c r="K1053">
        <v>342.1</v>
      </c>
      <c r="L1053">
        <v>339.5</v>
      </c>
      <c r="M1053">
        <v>337.3</v>
      </c>
      <c r="N1053">
        <v>336.4</v>
      </c>
    </row>
    <row r="1054" spans="3:14" x14ac:dyDescent="0.2">
      <c r="C1054" t="s">
        <v>628</v>
      </c>
      <c r="D1054" s="75">
        <v>0.60099999999999998</v>
      </c>
      <c r="E1054" s="75">
        <v>0.58099999999999996</v>
      </c>
      <c r="F1054" s="75">
        <v>0.59499999999999997</v>
      </c>
      <c r="G1054" s="75">
        <v>0.57799999999999996</v>
      </c>
      <c r="H1054" s="75">
        <v>0.52300000000000002</v>
      </c>
      <c r="I1054" s="75">
        <v>0.44800000000000001</v>
      </c>
      <c r="J1054" s="75">
        <v>0.34300000000000003</v>
      </c>
      <c r="K1054" s="75">
        <v>0.24399999999999999</v>
      </c>
      <c r="L1054" s="75">
        <v>0.20499999999999999</v>
      </c>
      <c r="M1054" s="75">
        <v>0.184</v>
      </c>
      <c r="N1054" s="75">
        <v>0.16400000000000001</v>
      </c>
    </row>
    <row r="1058" spans="2:14" s="2" customFormat="1" ht="15" x14ac:dyDescent="0.25">
      <c r="C1058" s="9" t="s">
        <v>663</v>
      </c>
      <c r="D1058" s="2" t="s">
        <v>664</v>
      </c>
    </row>
    <row r="1059" spans="2:14" s="2" customFormat="1" ht="15" x14ac:dyDescent="0.25">
      <c r="B1059" s="2" t="s">
        <v>631</v>
      </c>
    </row>
    <row r="1060" spans="2:14" s="2" customFormat="1" ht="15" x14ac:dyDescent="0.25">
      <c r="B1060" s="13" t="s">
        <v>567</v>
      </c>
      <c r="D1060" s="2">
        <v>2000</v>
      </c>
      <c r="E1060" s="2">
        <v>2005</v>
      </c>
      <c r="F1060" s="2">
        <v>2010</v>
      </c>
      <c r="G1060" s="2">
        <v>2015</v>
      </c>
      <c r="H1060" s="2">
        <v>2020</v>
      </c>
      <c r="I1060" s="2">
        <v>2025</v>
      </c>
      <c r="J1060" s="2">
        <v>2030</v>
      </c>
      <c r="K1060" s="2">
        <v>2035</v>
      </c>
      <c r="L1060" s="2">
        <v>2040</v>
      </c>
      <c r="M1060" s="2">
        <v>2045</v>
      </c>
      <c r="N1060" s="2">
        <v>2050</v>
      </c>
    </row>
    <row r="1061" spans="2:14" x14ac:dyDescent="0.2">
      <c r="C1061" t="s">
        <v>568</v>
      </c>
      <c r="D1061">
        <v>38.380000000000003</v>
      </c>
      <c r="E1061">
        <v>34.340000000000003</v>
      </c>
      <c r="F1061">
        <v>35.42</v>
      </c>
      <c r="G1061">
        <v>39</v>
      </c>
      <c r="H1061">
        <v>41.96</v>
      </c>
      <c r="I1061">
        <v>42.35</v>
      </c>
      <c r="J1061">
        <v>42.67</v>
      </c>
      <c r="K1061">
        <v>43.02</v>
      </c>
      <c r="L1061">
        <v>43.44</v>
      </c>
      <c r="M1061">
        <v>43.82</v>
      </c>
      <c r="N1061">
        <v>44.15</v>
      </c>
    </row>
    <row r="1062" spans="2:14" x14ac:dyDescent="0.2">
      <c r="C1062" t="s">
        <v>633</v>
      </c>
      <c r="D1062">
        <v>38.380000000000003</v>
      </c>
      <c r="E1062">
        <v>34.340000000000003</v>
      </c>
      <c r="F1062">
        <v>35.42</v>
      </c>
      <c r="G1062">
        <v>36.950000000000003</v>
      </c>
      <c r="H1062">
        <v>36.869999999999997</v>
      </c>
      <c r="I1062">
        <v>36.83</v>
      </c>
      <c r="J1062">
        <v>36.75</v>
      </c>
      <c r="K1062">
        <v>36.54</v>
      </c>
      <c r="L1062">
        <v>36.409999999999997</v>
      </c>
      <c r="M1062">
        <v>35.85</v>
      </c>
      <c r="N1062">
        <v>35.57</v>
      </c>
    </row>
    <row r="1063" spans="2:14" x14ac:dyDescent="0.2">
      <c r="C1063" t="s">
        <v>603</v>
      </c>
      <c r="D1063" t="s">
        <v>3</v>
      </c>
      <c r="E1063" t="s">
        <v>3</v>
      </c>
      <c r="F1063" t="s">
        <v>3</v>
      </c>
      <c r="G1063">
        <v>2.0499999999999998</v>
      </c>
      <c r="H1063">
        <v>5.09</v>
      </c>
      <c r="I1063">
        <v>5.52</v>
      </c>
      <c r="J1063">
        <v>5.91</v>
      </c>
      <c r="K1063">
        <v>6.48</v>
      </c>
      <c r="L1063">
        <v>7.02</v>
      </c>
      <c r="M1063">
        <v>7.96</v>
      </c>
      <c r="N1063">
        <v>8.57</v>
      </c>
    </row>
    <row r="1064" spans="2:14" x14ac:dyDescent="0.2">
      <c r="C1064" t="s">
        <v>571</v>
      </c>
      <c r="D1064">
        <v>24.73</v>
      </c>
      <c r="E1064">
        <v>21.9</v>
      </c>
      <c r="F1064">
        <v>25.13</v>
      </c>
      <c r="G1064">
        <v>24.58</v>
      </c>
      <c r="H1064">
        <v>21.68</v>
      </c>
      <c r="I1064">
        <v>15.98</v>
      </c>
      <c r="J1064">
        <v>8.81</v>
      </c>
      <c r="K1064" t="s">
        <v>572</v>
      </c>
      <c r="L1064" t="s">
        <v>3</v>
      </c>
      <c r="M1064" t="s">
        <v>3</v>
      </c>
      <c r="N1064" t="s">
        <v>3</v>
      </c>
    </row>
    <row r="1065" spans="2:14" x14ac:dyDescent="0.2">
      <c r="C1065" t="s">
        <v>604</v>
      </c>
      <c r="D1065">
        <v>1.79</v>
      </c>
      <c r="E1065">
        <v>2.0699999999999998</v>
      </c>
      <c r="F1065">
        <v>2.1800000000000002</v>
      </c>
      <c r="G1065">
        <v>2.7</v>
      </c>
      <c r="H1065">
        <v>3.13</v>
      </c>
      <c r="I1065">
        <v>3.38</v>
      </c>
      <c r="J1065">
        <v>3.62</v>
      </c>
      <c r="K1065">
        <v>3.58</v>
      </c>
      <c r="L1065">
        <v>3.44</v>
      </c>
      <c r="M1065">
        <v>3.45</v>
      </c>
      <c r="N1065">
        <v>3.45</v>
      </c>
    </row>
    <row r="1066" spans="2:14" x14ac:dyDescent="0.2">
      <c r="C1066" t="s">
        <v>605</v>
      </c>
      <c r="D1066">
        <v>1.79</v>
      </c>
      <c r="E1066">
        <v>2.0699999999999998</v>
      </c>
      <c r="F1066">
        <v>2.1800000000000002</v>
      </c>
      <c r="G1066">
        <v>1.76</v>
      </c>
      <c r="H1066">
        <v>1.48</v>
      </c>
      <c r="I1066">
        <v>0.92</v>
      </c>
      <c r="J1066">
        <v>0.57999999999999996</v>
      </c>
      <c r="K1066">
        <v>0.32</v>
      </c>
      <c r="L1066" t="s">
        <v>572</v>
      </c>
      <c r="M1066" t="s">
        <v>3</v>
      </c>
      <c r="N1066" t="s">
        <v>3</v>
      </c>
    </row>
    <row r="1067" spans="2:14" x14ac:dyDescent="0.2">
      <c r="C1067" t="s">
        <v>606</v>
      </c>
      <c r="D1067" t="s">
        <v>572</v>
      </c>
      <c r="E1067" t="s">
        <v>572</v>
      </c>
      <c r="F1067" t="s">
        <v>3</v>
      </c>
      <c r="G1067" t="s">
        <v>3</v>
      </c>
      <c r="H1067" t="s">
        <v>3</v>
      </c>
      <c r="I1067" t="s">
        <v>3</v>
      </c>
      <c r="J1067" t="s">
        <v>3</v>
      </c>
      <c r="K1067" t="s">
        <v>3</v>
      </c>
      <c r="L1067" t="s">
        <v>3</v>
      </c>
      <c r="M1067" t="s">
        <v>3</v>
      </c>
      <c r="N1067" t="s">
        <v>3</v>
      </c>
    </row>
    <row r="1068" spans="2:14" x14ac:dyDescent="0.2">
      <c r="C1068" t="s">
        <v>607</v>
      </c>
      <c r="D1068" t="s">
        <v>572</v>
      </c>
      <c r="E1068" t="s">
        <v>572</v>
      </c>
      <c r="F1068" t="s">
        <v>3</v>
      </c>
      <c r="G1068">
        <v>0.94</v>
      </c>
      <c r="H1068">
        <v>1.65</v>
      </c>
      <c r="I1068">
        <v>2.4700000000000002</v>
      </c>
      <c r="J1068">
        <v>3.04</v>
      </c>
      <c r="K1068">
        <v>3.26</v>
      </c>
      <c r="L1068">
        <v>3.44</v>
      </c>
      <c r="M1068">
        <v>3.45</v>
      </c>
      <c r="N1068">
        <v>3.45</v>
      </c>
    </row>
    <row r="1069" spans="2:14" x14ac:dyDescent="0.2">
      <c r="C1069" t="s">
        <v>608</v>
      </c>
      <c r="D1069">
        <v>0.81</v>
      </c>
      <c r="E1069">
        <v>1.01</v>
      </c>
      <c r="F1069">
        <v>1.38</v>
      </c>
      <c r="G1069">
        <v>2.36</v>
      </c>
      <c r="H1069">
        <v>3.68</v>
      </c>
      <c r="I1069">
        <v>5.66</v>
      </c>
      <c r="J1069">
        <v>8.24</v>
      </c>
      <c r="K1069">
        <v>11.94</v>
      </c>
      <c r="L1069">
        <v>16.149999999999999</v>
      </c>
      <c r="M1069">
        <v>20.57</v>
      </c>
      <c r="N1069">
        <v>24.22</v>
      </c>
    </row>
    <row r="1070" spans="2:14" x14ac:dyDescent="0.2">
      <c r="C1070" t="s">
        <v>609</v>
      </c>
      <c r="D1070">
        <v>0.81</v>
      </c>
      <c r="E1070">
        <v>1.01</v>
      </c>
      <c r="F1070">
        <v>1.38</v>
      </c>
      <c r="G1070">
        <v>1.03</v>
      </c>
      <c r="H1070">
        <v>0.92</v>
      </c>
      <c r="I1070">
        <v>0.7</v>
      </c>
      <c r="J1070">
        <v>0.4</v>
      </c>
      <c r="K1070">
        <v>0.1</v>
      </c>
      <c r="L1070">
        <v>0.01</v>
      </c>
      <c r="M1070" t="s">
        <v>3</v>
      </c>
      <c r="N1070" t="s">
        <v>3</v>
      </c>
    </row>
    <row r="1071" spans="2:14" x14ac:dyDescent="0.2">
      <c r="C1071" t="s">
        <v>610</v>
      </c>
      <c r="D1071" t="s">
        <v>572</v>
      </c>
      <c r="E1071" t="s">
        <v>3</v>
      </c>
      <c r="F1071" t="s">
        <v>3</v>
      </c>
      <c r="G1071">
        <v>1.34</v>
      </c>
      <c r="H1071">
        <v>2.77</v>
      </c>
      <c r="I1071">
        <v>4.95</v>
      </c>
      <c r="J1071">
        <v>7.84</v>
      </c>
      <c r="K1071">
        <v>11.84</v>
      </c>
      <c r="L1071">
        <v>16.14</v>
      </c>
      <c r="M1071">
        <v>20.57</v>
      </c>
      <c r="N1071">
        <v>24.22</v>
      </c>
    </row>
    <row r="1072" spans="2:14" x14ac:dyDescent="0.2">
      <c r="C1072" t="s">
        <v>580</v>
      </c>
      <c r="D1072">
        <v>0.01</v>
      </c>
      <c r="E1072">
        <v>0.02</v>
      </c>
      <c r="F1072">
        <v>0.08</v>
      </c>
      <c r="G1072">
        <v>0.28000000000000003</v>
      </c>
      <c r="H1072">
        <v>0.52</v>
      </c>
      <c r="I1072">
        <v>0.98</v>
      </c>
      <c r="J1072">
        <v>1.91</v>
      </c>
      <c r="K1072">
        <v>4.4400000000000004</v>
      </c>
      <c r="L1072">
        <v>6.74</v>
      </c>
      <c r="M1072">
        <v>9.23</v>
      </c>
      <c r="N1072">
        <v>11.12</v>
      </c>
    </row>
    <row r="1073" spans="3:14" x14ac:dyDescent="0.2">
      <c r="C1073" t="s">
        <v>581</v>
      </c>
      <c r="D1073">
        <v>0</v>
      </c>
      <c r="E1073">
        <v>0.01</v>
      </c>
      <c r="F1073">
        <v>0.04</v>
      </c>
      <c r="G1073">
        <v>0.35</v>
      </c>
      <c r="H1073">
        <v>0.66</v>
      </c>
      <c r="I1073">
        <v>0.99</v>
      </c>
      <c r="J1073">
        <v>1.46</v>
      </c>
      <c r="K1073">
        <v>1.76</v>
      </c>
      <c r="L1073">
        <v>2.59</v>
      </c>
      <c r="M1073">
        <v>3.43</v>
      </c>
      <c r="N1073">
        <v>4.26</v>
      </c>
    </row>
    <row r="1074" spans="3:14" x14ac:dyDescent="0.2">
      <c r="C1074" t="s">
        <v>582</v>
      </c>
      <c r="D1074" t="s">
        <v>572</v>
      </c>
      <c r="E1074" t="s">
        <v>572</v>
      </c>
      <c r="F1074" t="s">
        <v>3</v>
      </c>
      <c r="G1074" t="s">
        <v>3</v>
      </c>
      <c r="H1074" t="s">
        <v>3</v>
      </c>
      <c r="I1074" t="s">
        <v>3</v>
      </c>
      <c r="J1074" t="s">
        <v>3</v>
      </c>
      <c r="K1074" t="s">
        <v>3</v>
      </c>
      <c r="L1074" t="s">
        <v>3</v>
      </c>
      <c r="M1074" t="s">
        <v>3</v>
      </c>
      <c r="N1074" t="s">
        <v>3</v>
      </c>
    </row>
    <row r="1075" spans="3:14" x14ac:dyDescent="0.2">
      <c r="C1075" t="s">
        <v>47</v>
      </c>
      <c r="D1075" t="s">
        <v>572</v>
      </c>
      <c r="E1075" t="s">
        <v>572</v>
      </c>
      <c r="F1075" t="s">
        <v>3</v>
      </c>
      <c r="G1075">
        <v>0.1</v>
      </c>
      <c r="H1075">
        <v>0.2</v>
      </c>
      <c r="I1075">
        <v>0.39</v>
      </c>
      <c r="J1075">
        <v>0.78</v>
      </c>
      <c r="K1075">
        <v>1.43</v>
      </c>
      <c r="L1075">
        <v>2.41</v>
      </c>
      <c r="M1075">
        <v>3.48</v>
      </c>
      <c r="N1075">
        <v>4.3899999999999997</v>
      </c>
    </row>
    <row r="1076" spans="3:14" x14ac:dyDescent="0.2">
      <c r="C1076" t="s">
        <v>583</v>
      </c>
      <c r="D1076">
        <v>0.01</v>
      </c>
      <c r="E1076">
        <v>0.03</v>
      </c>
      <c r="F1076">
        <v>0.14000000000000001</v>
      </c>
      <c r="G1076">
        <v>0.33</v>
      </c>
      <c r="H1076">
        <v>0.6</v>
      </c>
      <c r="I1076">
        <v>0.97</v>
      </c>
      <c r="J1076">
        <v>1.21</v>
      </c>
      <c r="K1076">
        <v>1.21</v>
      </c>
      <c r="L1076">
        <v>1.23</v>
      </c>
      <c r="M1076">
        <v>1.23</v>
      </c>
      <c r="N1076">
        <v>1.24</v>
      </c>
    </row>
    <row r="1077" spans="3:14" x14ac:dyDescent="0.2">
      <c r="C1077" t="s">
        <v>584</v>
      </c>
      <c r="D1077">
        <v>0.01</v>
      </c>
      <c r="E1077">
        <v>0.02</v>
      </c>
      <c r="F1077">
        <v>0.08</v>
      </c>
      <c r="G1077">
        <v>0.21</v>
      </c>
      <c r="H1077">
        <v>0.46</v>
      </c>
      <c r="I1077">
        <v>0.88</v>
      </c>
      <c r="J1077">
        <v>1.29</v>
      </c>
      <c r="K1077">
        <v>1.48</v>
      </c>
      <c r="L1077">
        <v>1.55</v>
      </c>
      <c r="M1077">
        <v>1.58</v>
      </c>
      <c r="N1077">
        <v>1.58</v>
      </c>
    </row>
    <row r="1078" spans="3:14" x14ac:dyDescent="0.2">
      <c r="C1078" t="s">
        <v>585</v>
      </c>
      <c r="D1078">
        <v>0.09</v>
      </c>
      <c r="E1078">
        <v>0.11</v>
      </c>
      <c r="F1078">
        <v>0.12</v>
      </c>
      <c r="G1078">
        <v>0.1</v>
      </c>
      <c r="H1078">
        <v>0.16</v>
      </c>
      <c r="I1078">
        <v>0.22</v>
      </c>
      <c r="J1078">
        <v>0.27</v>
      </c>
      <c r="K1078">
        <v>0.28999999999999998</v>
      </c>
      <c r="L1078">
        <v>0.28999999999999998</v>
      </c>
      <c r="M1078">
        <v>0.3</v>
      </c>
      <c r="N1078">
        <v>0.3</v>
      </c>
    </row>
    <row r="1079" spans="3:14" x14ac:dyDescent="0.2">
      <c r="C1079" t="s">
        <v>586</v>
      </c>
      <c r="D1079">
        <v>0.63</v>
      </c>
      <c r="E1079">
        <v>0.8</v>
      </c>
      <c r="F1079">
        <v>0.92</v>
      </c>
      <c r="G1079">
        <v>0.99</v>
      </c>
      <c r="H1079">
        <v>1.1000000000000001</v>
      </c>
      <c r="I1079">
        <v>1.23</v>
      </c>
      <c r="J1079">
        <v>1.32</v>
      </c>
      <c r="K1079">
        <v>1.32</v>
      </c>
      <c r="L1079">
        <v>1.33</v>
      </c>
      <c r="M1079">
        <v>1.33</v>
      </c>
      <c r="N1079">
        <v>1.33</v>
      </c>
    </row>
    <row r="1080" spans="3:14" x14ac:dyDescent="0.2">
      <c r="C1080" t="s">
        <v>587</v>
      </c>
      <c r="D1080">
        <v>0.04</v>
      </c>
      <c r="E1080">
        <v>0.02</v>
      </c>
      <c r="F1080">
        <v>0</v>
      </c>
      <c r="G1080">
        <v>0.01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</row>
    <row r="1081" spans="3:14" x14ac:dyDescent="0.2">
      <c r="C1081" t="s">
        <v>588</v>
      </c>
      <c r="D1081" s="20">
        <f t="shared" ref="D1081:J1081" si="93">D1061+D1064+D1065+D1069</f>
        <v>65.710000000000008</v>
      </c>
      <c r="E1081" s="20">
        <f t="shared" si="93"/>
        <v>59.32</v>
      </c>
      <c r="F1081" s="20">
        <f t="shared" si="93"/>
        <v>64.11</v>
      </c>
      <c r="G1081" s="20">
        <f t="shared" si="93"/>
        <v>68.64</v>
      </c>
      <c r="H1081" s="20">
        <f t="shared" si="93"/>
        <v>70.45</v>
      </c>
      <c r="I1081" s="20">
        <f t="shared" si="93"/>
        <v>67.37</v>
      </c>
      <c r="J1081" s="20">
        <f t="shared" si="93"/>
        <v>63.34</v>
      </c>
      <c r="K1081" s="20">
        <f>K1061+K1065+K1069</f>
        <v>58.54</v>
      </c>
      <c r="L1081" s="20">
        <f>L1061+L1065+L1069</f>
        <v>63.029999999999994</v>
      </c>
      <c r="M1081" s="20">
        <f>M1061+M1065+M1069</f>
        <v>67.84</v>
      </c>
      <c r="N1081" s="20">
        <f>N1061+N1065+N1069</f>
        <v>71.819999999999993</v>
      </c>
    </row>
    <row r="1082" spans="3:14" x14ac:dyDescent="0.2">
      <c r="C1082" t="s">
        <v>589</v>
      </c>
      <c r="D1082">
        <v>-2.2200000000000002</v>
      </c>
      <c r="E1082">
        <v>-2.2200000000000002</v>
      </c>
      <c r="F1082">
        <v>-2.56</v>
      </c>
      <c r="G1082">
        <v>-4.34</v>
      </c>
      <c r="H1082">
        <v>-7.54</v>
      </c>
      <c r="I1082">
        <v>-7.54</v>
      </c>
      <c r="J1082">
        <v>-7.54</v>
      </c>
      <c r="K1082">
        <v>-7.54</v>
      </c>
      <c r="L1082">
        <v>-7.54</v>
      </c>
      <c r="M1082">
        <v>-7.54</v>
      </c>
      <c r="N1082">
        <v>-7.54</v>
      </c>
    </row>
    <row r="1083" spans="3:14" x14ac:dyDescent="0.2">
      <c r="C1083" s="14" t="s">
        <v>590</v>
      </c>
      <c r="D1083" s="32">
        <f>D1081+D1082</f>
        <v>63.490000000000009</v>
      </c>
      <c r="E1083" s="32">
        <f t="shared" ref="E1083:N1083" si="94">E1081+E1082</f>
        <v>57.1</v>
      </c>
      <c r="F1083" s="32">
        <f t="shared" si="94"/>
        <v>61.55</v>
      </c>
      <c r="G1083" s="32">
        <f t="shared" si="94"/>
        <v>64.3</v>
      </c>
      <c r="H1083" s="32">
        <f t="shared" si="94"/>
        <v>62.910000000000004</v>
      </c>
      <c r="I1083" s="32">
        <f t="shared" si="94"/>
        <v>59.830000000000005</v>
      </c>
      <c r="J1083" s="32">
        <f t="shared" si="94"/>
        <v>55.800000000000004</v>
      </c>
      <c r="K1083" s="32">
        <f t="shared" si="94"/>
        <v>51</v>
      </c>
      <c r="L1083" s="32">
        <f t="shared" si="94"/>
        <v>55.489999999999995</v>
      </c>
      <c r="M1083" s="32">
        <f t="shared" si="94"/>
        <v>60.300000000000004</v>
      </c>
      <c r="N1083" s="32">
        <f t="shared" si="94"/>
        <v>64.279999999999987</v>
      </c>
    </row>
    <row r="1084" spans="3:14" x14ac:dyDescent="0.2">
      <c r="C1084" t="s">
        <v>591</v>
      </c>
      <c r="D1084">
        <v>18.72</v>
      </c>
      <c r="E1084">
        <v>17.98</v>
      </c>
      <c r="F1084">
        <v>17.239999999999998</v>
      </c>
      <c r="G1084">
        <v>17.239999999999998</v>
      </c>
      <c r="H1084">
        <v>10.06</v>
      </c>
      <c r="I1084">
        <v>10.43</v>
      </c>
      <c r="J1084">
        <v>12.59</v>
      </c>
      <c r="K1084">
        <v>14.24</v>
      </c>
      <c r="L1084">
        <v>10.74</v>
      </c>
      <c r="M1084">
        <v>8.3699999999999992</v>
      </c>
      <c r="N1084">
        <v>7.2</v>
      </c>
    </row>
    <row r="1085" spans="3:14" x14ac:dyDescent="0.2">
      <c r="C1085" t="s">
        <v>592</v>
      </c>
      <c r="D1085">
        <v>18.72</v>
      </c>
      <c r="E1085">
        <v>17.98</v>
      </c>
      <c r="F1085">
        <v>17.239999999999998</v>
      </c>
      <c r="G1085">
        <v>17.239999999999998</v>
      </c>
      <c r="H1085">
        <v>10.06</v>
      </c>
      <c r="I1085">
        <v>8.42</v>
      </c>
      <c r="J1085">
        <v>8.42</v>
      </c>
      <c r="K1085">
        <v>2.61</v>
      </c>
      <c r="L1085">
        <v>1.3</v>
      </c>
      <c r="M1085" t="s">
        <v>572</v>
      </c>
      <c r="N1085" t="s">
        <v>3</v>
      </c>
    </row>
    <row r="1086" spans="3:14" x14ac:dyDescent="0.2">
      <c r="C1086" t="s">
        <v>593</v>
      </c>
      <c r="D1086" t="s">
        <v>572</v>
      </c>
      <c r="E1086" t="s">
        <v>3</v>
      </c>
      <c r="F1086" t="s">
        <v>3</v>
      </c>
      <c r="G1086" t="s">
        <v>3</v>
      </c>
      <c r="H1086" t="s">
        <v>3</v>
      </c>
      <c r="I1086">
        <v>2.0099999999999998</v>
      </c>
      <c r="J1086">
        <v>4.17</v>
      </c>
      <c r="K1086">
        <v>11.63</v>
      </c>
      <c r="L1086">
        <v>9.43</v>
      </c>
      <c r="M1086">
        <v>8.3699999999999992</v>
      </c>
      <c r="N1086">
        <v>7.2</v>
      </c>
    </row>
    <row r="1087" spans="3:14" x14ac:dyDescent="0.2">
      <c r="C1087" t="s">
        <v>594</v>
      </c>
      <c r="D1087">
        <v>26.07</v>
      </c>
      <c r="E1087">
        <v>13.75</v>
      </c>
      <c r="F1087">
        <v>15.19</v>
      </c>
      <c r="G1087">
        <v>16.46</v>
      </c>
      <c r="H1087">
        <v>8.9700000000000006</v>
      </c>
      <c r="I1087">
        <v>7.22</v>
      </c>
      <c r="J1087">
        <v>5.7</v>
      </c>
      <c r="K1087">
        <v>2.2599999999999998</v>
      </c>
      <c r="L1087">
        <v>2.29</v>
      </c>
      <c r="M1087">
        <v>3.73</v>
      </c>
      <c r="N1087">
        <v>5.53</v>
      </c>
    </row>
    <row r="1088" spans="3:14" x14ac:dyDescent="0.2">
      <c r="C1088" t="s">
        <v>612</v>
      </c>
      <c r="D1088">
        <v>2.83</v>
      </c>
      <c r="E1088">
        <v>2.2599999999999998</v>
      </c>
      <c r="F1088">
        <v>2.2599999999999998</v>
      </c>
      <c r="G1088">
        <v>2.2599999999999998</v>
      </c>
      <c r="H1088">
        <v>2.2599999999999998</v>
      </c>
      <c r="I1088">
        <v>2.2599999999999998</v>
      </c>
      <c r="J1088">
        <v>2.2599999999999998</v>
      </c>
      <c r="K1088">
        <v>2.2599999999999998</v>
      </c>
      <c r="L1088">
        <v>0.66</v>
      </c>
      <c r="M1088" t="s">
        <v>572</v>
      </c>
      <c r="N1088" t="s">
        <v>3</v>
      </c>
    </row>
    <row r="1089" spans="2:14" x14ac:dyDescent="0.2">
      <c r="C1089" t="s">
        <v>596</v>
      </c>
      <c r="D1089">
        <v>23.24</v>
      </c>
      <c r="E1089">
        <v>11.49</v>
      </c>
      <c r="F1089">
        <v>12.93</v>
      </c>
      <c r="G1089">
        <v>14.2</v>
      </c>
      <c r="H1089">
        <v>6.71</v>
      </c>
      <c r="I1089">
        <v>4.96</v>
      </c>
      <c r="J1089">
        <v>3.44</v>
      </c>
      <c r="K1089">
        <v>0</v>
      </c>
      <c r="L1089">
        <v>1.63</v>
      </c>
      <c r="M1089">
        <v>3.73</v>
      </c>
      <c r="N1089">
        <v>5.53</v>
      </c>
    </row>
    <row r="1090" spans="2:14" x14ac:dyDescent="0.2">
      <c r="C1090" s="14" t="s">
        <v>597</v>
      </c>
      <c r="D1090" s="32">
        <f>D1084-D1087</f>
        <v>-7.3500000000000014</v>
      </c>
      <c r="E1090" s="32">
        <f t="shared" ref="E1090:L1090" si="95">E1084-E1087</f>
        <v>4.2300000000000004</v>
      </c>
      <c r="F1090" s="32">
        <f t="shared" si="95"/>
        <v>2.0499999999999989</v>
      </c>
      <c r="G1090" s="32">
        <f t="shared" si="95"/>
        <v>0.77999999999999758</v>
      </c>
      <c r="H1090" s="32">
        <f t="shared" si="95"/>
        <v>1.0899999999999999</v>
      </c>
      <c r="I1090" s="32">
        <f t="shared" si="95"/>
        <v>3.21</v>
      </c>
      <c r="J1090" s="32">
        <f t="shared" si="95"/>
        <v>6.89</v>
      </c>
      <c r="K1090" s="32">
        <f t="shared" si="95"/>
        <v>11.98</v>
      </c>
      <c r="L1090" s="32">
        <f t="shared" si="95"/>
        <v>8.4499999999999993</v>
      </c>
      <c r="M1090" s="32">
        <v>0</v>
      </c>
      <c r="N1090" s="32">
        <v>0</v>
      </c>
    </row>
    <row r="1091" spans="2:14" x14ac:dyDescent="0.2">
      <c r="C1091" t="s">
        <v>598</v>
      </c>
      <c r="D1091" s="20">
        <f>D1083+D1090</f>
        <v>56.140000000000008</v>
      </c>
      <c r="E1091" s="20">
        <f t="shared" ref="E1091:N1091" si="96">E1083+E1090</f>
        <v>61.33</v>
      </c>
      <c r="F1091" s="20">
        <f t="shared" si="96"/>
        <v>63.599999999999994</v>
      </c>
      <c r="G1091" s="20">
        <f t="shared" si="96"/>
        <v>65.08</v>
      </c>
      <c r="H1091" s="20">
        <f t="shared" si="96"/>
        <v>64</v>
      </c>
      <c r="I1091" s="20">
        <f t="shared" si="96"/>
        <v>63.040000000000006</v>
      </c>
      <c r="J1091" s="20">
        <f t="shared" si="96"/>
        <v>62.690000000000005</v>
      </c>
      <c r="K1091" s="20">
        <f t="shared" si="96"/>
        <v>62.980000000000004</v>
      </c>
      <c r="L1091" s="20">
        <f t="shared" si="96"/>
        <v>63.94</v>
      </c>
      <c r="M1091" s="20">
        <f t="shared" si="96"/>
        <v>60.300000000000004</v>
      </c>
      <c r="N1091" s="20">
        <f t="shared" si="96"/>
        <v>64.279999999999987</v>
      </c>
    </row>
    <row r="1093" spans="2:14" x14ac:dyDescent="0.2">
      <c r="C1093" t="s">
        <v>599</v>
      </c>
      <c r="D1093">
        <v>61.18</v>
      </c>
      <c r="E1093">
        <v>65.81</v>
      </c>
      <c r="F1093">
        <v>68.41</v>
      </c>
      <c r="G1093">
        <v>71.680000000000007</v>
      </c>
      <c r="H1093">
        <v>73.81</v>
      </c>
      <c r="I1093">
        <v>72.84</v>
      </c>
      <c r="J1093">
        <v>72.48</v>
      </c>
      <c r="K1093">
        <v>72.77</v>
      </c>
      <c r="L1093">
        <v>72.13</v>
      </c>
      <c r="M1093">
        <v>72.47</v>
      </c>
      <c r="N1093">
        <v>73.489999999999995</v>
      </c>
    </row>
    <row r="1099" spans="2:14" s="2" customFormat="1" ht="15" x14ac:dyDescent="0.25">
      <c r="C1099" s="9" t="s">
        <v>665</v>
      </c>
      <c r="D1099" s="2" t="s">
        <v>664</v>
      </c>
    </row>
    <row r="1100" spans="2:14" s="2" customFormat="1" ht="15" x14ac:dyDescent="0.25">
      <c r="B1100" s="2" t="s">
        <v>600</v>
      </c>
    </row>
    <row r="1101" spans="2:14" s="2" customFormat="1" ht="15" x14ac:dyDescent="0.25">
      <c r="B1101" s="13" t="s">
        <v>601</v>
      </c>
      <c r="D1101" s="2">
        <v>2000</v>
      </c>
      <c r="E1101" s="2">
        <v>2005</v>
      </c>
      <c r="F1101" s="2">
        <v>2010</v>
      </c>
      <c r="G1101" s="2">
        <v>2015</v>
      </c>
      <c r="H1101" s="2">
        <v>2020</v>
      </c>
      <c r="I1101" s="2">
        <v>2025</v>
      </c>
      <c r="J1101" s="2">
        <v>2030</v>
      </c>
      <c r="K1101" s="2">
        <v>2035</v>
      </c>
      <c r="L1101" s="2">
        <v>2040</v>
      </c>
      <c r="M1101" s="2">
        <v>2045</v>
      </c>
      <c r="N1101" s="2">
        <v>2050</v>
      </c>
    </row>
    <row r="1102" spans="2:14" x14ac:dyDescent="0.2">
      <c r="C1102" t="s">
        <v>568</v>
      </c>
      <c r="D1102">
        <v>17.71</v>
      </c>
      <c r="E1102">
        <v>15.56</v>
      </c>
      <c r="F1102">
        <v>14.16</v>
      </c>
      <c r="G1102">
        <v>17.079999999999998</v>
      </c>
      <c r="H1102">
        <v>18.98</v>
      </c>
      <c r="I1102">
        <v>19.3</v>
      </c>
      <c r="J1102">
        <v>19.59</v>
      </c>
      <c r="K1102">
        <v>19.89</v>
      </c>
      <c r="L1102">
        <v>20.22</v>
      </c>
      <c r="M1102">
        <v>20.53</v>
      </c>
      <c r="N1102">
        <v>20.86</v>
      </c>
    </row>
    <row r="1103" spans="2:14" x14ac:dyDescent="0.2">
      <c r="C1103" t="s">
        <v>633</v>
      </c>
      <c r="D1103">
        <v>17.71</v>
      </c>
      <c r="E1103">
        <v>15.56</v>
      </c>
      <c r="F1103">
        <v>14.16</v>
      </c>
      <c r="G1103">
        <v>15.95</v>
      </c>
      <c r="H1103">
        <v>16.09</v>
      </c>
      <c r="I1103">
        <v>16.239999999999998</v>
      </c>
      <c r="J1103">
        <v>16.39</v>
      </c>
      <c r="K1103">
        <v>16.47</v>
      </c>
      <c r="L1103">
        <v>16.59</v>
      </c>
      <c r="M1103">
        <v>16.53</v>
      </c>
      <c r="N1103">
        <v>16.63</v>
      </c>
    </row>
    <row r="1104" spans="2:14" x14ac:dyDescent="0.2">
      <c r="C1104" t="s">
        <v>603</v>
      </c>
      <c r="D1104" t="s">
        <v>3</v>
      </c>
      <c r="E1104" t="s">
        <v>3</v>
      </c>
      <c r="F1104" t="s">
        <v>3</v>
      </c>
      <c r="G1104">
        <v>1.1299999999999999</v>
      </c>
      <c r="H1104">
        <v>2.89</v>
      </c>
      <c r="I1104">
        <v>3.05</v>
      </c>
      <c r="J1104">
        <v>3.2</v>
      </c>
      <c r="K1104">
        <v>3.42</v>
      </c>
      <c r="L1104">
        <v>3.62</v>
      </c>
      <c r="M1104">
        <v>4</v>
      </c>
      <c r="N1104">
        <v>4.2300000000000004</v>
      </c>
    </row>
    <row r="1105" spans="3:14" x14ac:dyDescent="0.2">
      <c r="C1105" t="s">
        <v>571</v>
      </c>
      <c r="D1105">
        <v>13.72</v>
      </c>
      <c r="E1105">
        <v>13.94</v>
      </c>
      <c r="F1105">
        <v>14.17</v>
      </c>
      <c r="G1105">
        <v>13.5</v>
      </c>
      <c r="H1105">
        <v>11.91</v>
      </c>
      <c r="I1105">
        <v>8.7799999999999994</v>
      </c>
      <c r="J1105">
        <v>4.84</v>
      </c>
      <c r="K1105" t="s">
        <v>572</v>
      </c>
      <c r="L1105" t="s">
        <v>3</v>
      </c>
      <c r="M1105" t="s">
        <v>3</v>
      </c>
      <c r="N1105" t="s">
        <v>3</v>
      </c>
    </row>
    <row r="1106" spans="3:14" x14ac:dyDescent="0.2">
      <c r="C1106" t="s">
        <v>604</v>
      </c>
      <c r="D1106">
        <v>1.1100000000000001</v>
      </c>
      <c r="E1106">
        <v>1.25</v>
      </c>
      <c r="F1106">
        <v>1.3</v>
      </c>
      <c r="G1106">
        <v>1.63</v>
      </c>
      <c r="H1106">
        <v>1.9</v>
      </c>
      <c r="I1106">
        <v>2.08</v>
      </c>
      <c r="J1106">
        <v>2.2400000000000002</v>
      </c>
      <c r="K1106">
        <v>2.2000000000000002</v>
      </c>
      <c r="L1106">
        <v>2.13</v>
      </c>
      <c r="M1106">
        <v>2.14</v>
      </c>
      <c r="N1106">
        <v>2.14</v>
      </c>
    </row>
    <row r="1107" spans="3:14" x14ac:dyDescent="0.2">
      <c r="C1107" t="s">
        <v>605</v>
      </c>
      <c r="D1107">
        <v>1.1100000000000001</v>
      </c>
      <c r="E1107">
        <v>1.25</v>
      </c>
      <c r="F1107">
        <v>1.3</v>
      </c>
      <c r="G1107">
        <v>1.05</v>
      </c>
      <c r="H1107">
        <v>0.86</v>
      </c>
      <c r="I1107">
        <v>0.53</v>
      </c>
      <c r="J1107">
        <v>0.34</v>
      </c>
      <c r="K1107">
        <v>0.18</v>
      </c>
      <c r="L1107" t="s">
        <v>572</v>
      </c>
      <c r="M1107" t="s">
        <v>3</v>
      </c>
      <c r="N1107" t="s">
        <v>3</v>
      </c>
    </row>
    <row r="1108" spans="3:14" x14ac:dyDescent="0.2">
      <c r="C1108" t="s">
        <v>606</v>
      </c>
      <c r="D1108" t="s">
        <v>572</v>
      </c>
      <c r="E1108" t="s">
        <v>572</v>
      </c>
      <c r="F1108" t="s">
        <v>3</v>
      </c>
      <c r="G1108" t="s">
        <v>3</v>
      </c>
      <c r="H1108" t="s">
        <v>3</v>
      </c>
      <c r="I1108" t="s">
        <v>3</v>
      </c>
      <c r="J1108" t="s">
        <v>3</v>
      </c>
      <c r="K1108" t="s">
        <v>3</v>
      </c>
      <c r="L1108" t="s">
        <v>3</v>
      </c>
      <c r="M1108" t="s">
        <v>3</v>
      </c>
      <c r="N1108" t="s">
        <v>3</v>
      </c>
    </row>
    <row r="1109" spans="3:14" x14ac:dyDescent="0.2">
      <c r="C1109" t="s">
        <v>607</v>
      </c>
      <c r="D1109" t="s">
        <v>572</v>
      </c>
      <c r="E1109" t="s">
        <v>572</v>
      </c>
      <c r="F1109" t="s">
        <v>3</v>
      </c>
      <c r="G1109">
        <v>0.57999999999999996</v>
      </c>
      <c r="H1109">
        <v>1.04</v>
      </c>
      <c r="I1109">
        <v>1.55</v>
      </c>
      <c r="J1109">
        <v>1.9</v>
      </c>
      <c r="K1109">
        <v>2.0299999999999998</v>
      </c>
      <c r="L1109">
        <v>2.13</v>
      </c>
      <c r="M1109">
        <v>2.14</v>
      </c>
      <c r="N1109">
        <v>2.14</v>
      </c>
    </row>
    <row r="1110" spans="3:14" x14ac:dyDescent="0.2">
      <c r="C1110" t="s">
        <v>608</v>
      </c>
      <c r="D1110">
        <v>0.45</v>
      </c>
      <c r="E1110">
        <v>0.55000000000000004</v>
      </c>
      <c r="F1110">
        <v>0.76</v>
      </c>
      <c r="G1110">
        <v>1.3</v>
      </c>
      <c r="H1110">
        <v>2.02</v>
      </c>
      <c r="I1110">
        <v>3.06</v>
      </c>
      <c r="J1110">
        <v>4.28</v>
      </c>
      <c r="K1110">
        <v>5.6</v>
      </c>
      <c r="L1110">
        <v>7.27</v>
      </c>
      <c r="M1110">
        <v>8.99</v>
      </c>
      <c r="N1110">
        <v>10.47</v>
      </c>
    </row>
    <row r="1111" spans="3:14" x14ac:dyDescent="0.2">
      <c r="C1111" t="s">
        <v>609</v>
      </c>
      <c r="D1111">
        <v>0.45</v>
      </c>
      <c r="E1111">
        <v>0.55000000000000004</v>
      </c>
      <c r="F1111">
        <v>0.76</v>
      </c>
      <c r="G1111">
        <v>0.56000000000000005</v>
      </c>
      <c r="H1111">
        <v>0.5</v>
      </c>
      <c r="I1111">
        <v>0.38</v>
      </c>
      <c r="J1111">
        <v>0.21</v>
      </c>
      <c r="K1111">
        <v>0.05</v>
      </c>
      <c r="L1111">
        <v>0</v>
      </c>
      <c r="M1111" t="s">
        <v>3</v>
      </c>
      <c r="N1111" t="s">
        <v>3</v>
      </c>
    </row>
    <row r="1112" spans="3:14" x14ac:dyDescent="0.2">
      <c r="C1112" t="s">
        <v>610</v>
      </c>
      <c r="D1112" t="s">
        <v>572</v>
      </c>
      <c r="E1112" t="s">
        <v>3</v>
      </c>
      <c r="F1112" t="s">
        <v>3</v>
      </c>
      <c r="G1112">
        <v>0.74</v>
      </c>
      <c r="H1112">
        <v>1.52</v>
      </c>
      <c r="I1112">
        <v>2.68</v>
      </c>
      <c r="J1112">
        <v>4.07</v>
      </c>
      <c r="K1112">
        <v>5.54</v>
      </c>
      <c r="L1112">
        <v>7.26</v>
      </c>
      <c r="M1112">
        <v>8.99</v>
      </c>
      <c r="N1112">
        <v>10.47</v>
      </c>
    </row>
    <row r="1113" spans="3:14" x14ac:dyDescent="0.2">
      <c r="C1113" t="s">
        <v>580</v>
      </c>
      <c r="D1113">
        <v>0</v>
      </c>
      <c r="E1113">
        <v>0.01</v>
      </c>
      <c r="F1113">
        <v>0.02</v>
      </c>
      <c r="G1113">
        <v>0.08</v>
      </c>
      <c r="H1113">
        <v>0.14000000000000001</v>
      </c>
      <c r="I1113">
        <v>0.26</v>
      </c>
      <c r="J1113">
        <v>0.52</v>
      </c>
      <c r="K1113">
        <v>1.2</v>
      </c>
      <c r="L1113">
        <v>1.82</v>
      </c>
      <c r="M1113">
        <v>2.4900000000000002</v>
      </c>
      <c r="N1113">
        <v>3</v>
      </c>
    </row>
    <row r="1114" spans="3:14" x14ac:dyDescent="0.2">
      <c r="C1114" t="s">
        <v>581</v>
      </c>
      <c r="D1114">
        <v>0</v>
      </c>
      <c r="E1114">
        <v>0.01</v>
      </c>
      <c r="F1114">
        <v>0.02</v>
      </c>
      <c r="G1114">
        <v>0.21</v>
      </c>
      <c r="H1114">
        <v>0.4</v>
      </c>
      <c r="I1114">
        <v>0.59</v>
      </c>
      <c r="J1114">
        <v>0.88</v>
      </c>
      <c r="K1114">
        <v>1.06</v>
      </c>
      <c r="L1114">
        <v>1.56</v>
      </c>
      <c r="M1114">
        <v>2.06</v>
      </c>
      <c r="N1114">
        <v>2.56</v>
      </c>
    </row>
    <row r="1115" spans="3:14" x14ac:dyDescent="0.2">
      <c r="C1115" t="s">
        <v>582</v>
      </c>
      <c r="D1115" t="s">
        <v>572</v>
      </c>
      <c r="E1115" t="s">
        <v>572</v>
      </c>
      <c r="F1115" t="s">
        <v>3</v>
      </c>
      <c r="G1115" t="s">
        <v>3</v>
      </c>
      <c r="H1115" t="s">
        <v>3</v>
      </c>
      <c r="I1115" t="s">
        <v>3</v>
      </c>
      <c r="J1115" t="s">
        <v>3</v>
      </c>
      <c r="K1115" t="s">
        <v>3</v>
      </c>
      <c r="L1115" t="s">
        <v>3</v>
      </c>
      <c r="M1115" t="s">
        <v>3</v>
      </c>
      <c r="N1115" t="s">
        <v>3</v>
      </c>
    </row>
    <row r="1116" spans="3:14" x14ac:dyDescent="0.2">
      <c r="C1116" t="s">
        <v>47</v>
      </c>
      <c r="D1116" t="s">
        <v>572</v>
      </c>
      <c r="E1116" t="s">
        <v>572</v>
      </c>
      <c r="F1116" t="s">
        <v>3</v>
      </c>
      <c r="G1116">
        <v>0.05</v>
      </c>
      <c r="H1116">
        <v>0.1</v>
      </c>
      <c r="I1116">
        <v>0.2</v>
      </c>
      <c r="J1116">
        <v>0.39</v>
      </c>
      <c r="K1116">
        <v>0.72</v>
      </c>
      <c r="L1116">
        <v>1.2</v>
      </c>
      <c r="M1116">
        <v>1.74</v>
      </c>
      <c r="N1116">
        <v>2.19</v>
      </c>
    </row>
    <row r="1117" spans="3:14" x14ac:dyDescent="0.2">
      <c r="C1117" t="s">
        <v>583</v>
      </c>
      <c r="D1117">
        <v>0.01</v>
      </c>
      <c r="E1117">
        <v>0.02</v>
      </c>
      <c r="F1117">
        <v>0.09</v>
      </c>
      <c r="G1117">
        <v>0.23</v>
      </c>
      <c r="H1117">
        <v>0.41</v>
      </c>
      <c r="I1117">
        <v>0.66</v>
      </c>
      <c r="J1117">
        <v>0.82</v>
      </c>
      <c r="K1117">
        <v>0.82</v>
      </c>
      <c r="L1117">
        <v>0.83</v>
      </c>
      <c r="M1117">
        <v>0.83</v>
      </c>
      <c r="N1117">
        <v>0.84</v>
      </c>
    </row>
    <row r="1118" spans="3:14" x14ac:dyDescent="0.2">
      <c r="C1118" t="s">
        <v>584</v>
      </c>
      <c r="D1118">
        <v>0.01</v>
      </c>
      <c r="E1118">
        <v>0.01</v>
      </c>
      <c r="F1118">
        <v>0.05</v>
      </c>
      <c r="G1118">
        <v>0.13</v>
      </c>
      <c r="H1118">
        <v>0.28000000000000003</v>
      </c>
      <c r="I1118">
        <v>0.54</v>
      </c>
      <c r="J1118">
        <v>0.79</v>
      </c>
      <c r="K1118">
        <v>0.91</v>
      </c>
      <c r="L1118">
        <v>0.95</v>
      </c>
      <c r="M1118">
        <v>0.97</v>
      </c>
      <c r="N1118">
        <v>0.97</v>
      </c>
    </row>
    <row r="1119" spans="3:14" x14ac:dyDescent="0.2">
      <c r="C1119" t="s">
        <v>585</v>
      </c>
      <c r="D1119">
        <v>0.05</v>
      </c>
      <c r="E1119">
        <v>0.06</v>
      </c>
      <c r="F1119">
        <v>7.0000000000000007E-2</v>
      </c>
      <c r="G1119">
        <v>0.06</v>
      </c>
      <c r="H1119">
        <v>0.09</v>
      </c>
      <c r="I1119">
        <v>0.13</v>
      </c>
      <c r="J1119">
        <v>0.16</v>
      </c>
      <c r="K1119">
        <v>0.17</v>
      </c>
      <c r="L1119">
        <v>0.17</v>
      </c>
      <c r="M1119">
        <v>0.18</v>
      </c>
      <c r="N1119">
        <v>0.18</v>
      </c>
    </row>
    <row r="1120" spans="3:14" x14ac:dyDescent="0.2">
      <c r="C1120" t="s">
        <v>586</v>
      </c>
      <c r="D1120">
        <v>0.35</v>
      </c>
      <c r="E1120">
        <v>0.44</v>
      </c>
      <c r="F1120">
        <v>0.51</v>
      </c>
      <c r="G1120">
        <v>0.54</v>
      </c>
      <c r="H1120">
        <v>0.6</v>
      </c>
      <c r="I1120">
        <v>0.68</v>
      </c>
      <c r="J1120">
        <v>0.73</v>
      </c>
      <c r="K1120">
        <v>0.73</v>
      </c>
      <c r="L1120">
        <v>0.73</v>
      </c>
      <c r="M1120">
        <v>0.73</v>
      </c>
      <c r="N1120">
        <v>0.73</v>
      </c>
    </row>
    <row r="1121" spans="3:14" x14ac:dyDescent="0.2">
      <c r="C1121" t="s">
        <v>587</v>
      </c>
      <c r="D1121">
        <v>0.02</v>
      </c>
      <c r="E1121">
        <v>0.01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</row>
    <row r="1122" spans="3:14" x14ac:dyDescent="0.2">
      <c r="C1122" t="s">
        <v>588</v>
      </c>
      <c r="D1122" s="20">
        <f t="shared" ref="D1122:J1122" si="97">D1102+D1105+D1106+D1110</f>
        <v>32.99</v>
      </c>
      <c r="E1122" s="20">
        <f t="shared" si="97"/>
        <v>31.3</v>
      </c>
      <c r="F1122" s="20">
        <f t="shared" si="97"/>
        <v>30.39</v>
      </c>
      <c r="G1122" s="20">
        <f t="shared" si="97"/>
        <v>33.51</v>
      </c>
      <c r="H1122" s="20">
        <f t="shared" si="97"/>
        <v>34.81</v>
      </c>
      <c r="I1122" s="20">
        <f t="shared" si="97"/>
        <v>33.22</v>
      </c>
      <c r="J1122" s="20">
        <f t="shared" si="97"/>
        <v>30.950000000000003</v>
      </c>
      <c r="K1122" s="20">
        <f>K1102+K1106+K1110</f>
        <v>27.689999999999998</v>
      </c>
      <c r="L1122" s="20">
        <f>L1102+L1106+L1110</f>
        <v>29.619999999999997</v>
      </c>
      <c r="M1122" s="20">
        <f>M1102+M1106+M1110</f>
        <v>31.660000000000004</v>
      </c>
      <c r="N1122" s="20">
        <f>N1102+N1106+N1110</f>
        <v>33.47</v>
      </c>
    </row>
    <row r="1123" spans="3:14" x14ac:dyDescent="0.2">
      <c r="C1123" t="s">
        <v>589</v>
      </c>
      <c r="D1123">
        <v>-0.89</v>
      </c>
      <c r="E1123">
        <v>-0.89</v>
      </c>
      <c r="F1123">
        <v>-1.02</v>
      </c>
      <c r="G1123">
        <v>-2.13</v>
      </c>
      <c r="H1123">
        <v>-4.12</v>
      </c>
      <c r="I1123">
        <v>-4.12</v>
      </c>
      <c r="J1123">
        <v>-4.12</v>
      </c>
      <c r="K1123">
        <v>-4.12</v>
      </c>
      <c r="L1123">
        <v>-4.12</v>
      </c>
      <c r="M1123">
        <v>-4.12</v>
      </c>
      <c r="N1123">
        <v>-4.12</v>
      </c>
    </row>
    <row r="1124" spans="3:14" x14ac:dyDescent="0.2">
      <c r="C1124" s="14" t="s">
        <v>590</v>
      </c>
      <c r="D1124" s="32">
        <f>D1122+D1123</f>
        <v>32.1</v>
      </c>
      <c r="E1124" s="32">
        <f t="shared" ref="E1124:N1124" si="98">E1122+E1123</f>
        <v>30.41</v>
      </c>
      <c r="F1124" s="32">
        <f t="shared" si="98"/>
        <v>29.37</v>
      </c>
      <c r="G1124" s="32">
        <f t="shared" si="98"/>
        <v>31.38</v>
      </c>
      <c r="H1124" s="32">
        <f t="shared" si="98"/>
        <v>30.69</v>
      </c>
      <c r="I1124" s="32">
        <f t="shared" si="98"/>
        <v>29.099999999999998</v>
      </c>
      <c r="J1124" s="32">
        <f t="shared" si="98"/>
        <v>26.830000000000002</v>
      </c>
      <c r="K1124" s="32">
        <f t="shared" si="98"/>
        <v>23.569999999999997</v>
      </c>
      <c r="L1124" s="32">
        <f t="shared" si="98"/>
        <v>25.499999999999996</v>
      </c>
      <c r="M1124" s="32">
        <f t="shared" si="98"/>
        <v>27.540000000000003</v>
      </c>
      <c r="N1124" s="32">
        <f t="shared" si="98"/>
        <v>29.349999999999998</v>
      </c>
    </row>
    <row r="1125" spans="3:14" x14ac:dyDescent="0.2">
      <c r="C1125" t="s">
        <v>591</v>
      </c>
      <c r="D1125">
        <v>10.16</v>
      </c>
      <c r="E1125">
        <v>9.76</v>
      </c>
      <c r="F1125">
        <v>9.36</v>
      </c>
      <c r="G1125">
        <v>9.36</v>
      </c>
      <c r="H1125">
        <v>5.46</v>
      </c>
      <c r="I1125">
        <v>6.58</v>
      </c>
      <c r="J1125">
        <v>8.74</v>
      </c>
      <c r="K1125">
        <v>12.23</v>
      </c>
      <c r="L1125">
        <v>10.14</v>
      </c>
      <c r="M1125">
        <v>8.3699999999999992</v>
      </c>
      <c r="N1125">
        <v>7.2</v>
      </c>
    </row>
    <row r="1126" spans="3:14" x14ac:dyDescent="0.2">
      <c r="C1126" t="s">
        <v>592</v>
      </c>
      <c r="D1126">
        <v>10.16</v>
      </c>
      <c r="E1126">
        <v>9.76</v>
      </c>
      <c r="F1126">
        <v>9.36</v>
      </c>
      <c r="G1126">
        <v>9.36</v>
      </c>
      <c r="H1126">
        <v>5.46</v>
      </c>
      <c r="I1126">
        <v>4.57</v>
      </c>
      <c r="J1126">
        <v>4.57</v>
      </c>
      <c r="K1126">
        <v>1.42</v>
      </c>
      <c r="L1126">
        <v>0.71</v>
      </c>
      <c r="M1126" t="s">
        <v>572</v>
      </c>
      <c r="N1126" t="s">
        <v>3</v>
      </c>
    </row>
    <row r="1127" spans="3:14" x14ac:dyDescent="0.2">
      <c r="C1127" t="s">
        <v>593</v>
      </c>
      <c r="D1127" t="s">
        <v>572</v>
      </c>
      <c r="E1127" t="s">
        <v>3</v>
      </c>
      <c r="F1127" t="s">
        <v>3</v>
      </c>
      <c r="G1127" t="s">
        <v>3</v>
      </c>
      <c r="H1127" t="s">
        <v>3</v>
      </c>
      <c r="I1127">
        <v>2.0099999999999998</v>
      </c>
      <c r="J1127">
        <v>4.17</v>
      </c>
      <c r="K1127">
        <v>10.81</v>
      </c>
      <c r="L1127">
        <v>9.43</v>
      </c>
      <c r="M1127">
        <v>8.3699999999999992</v>
      </c>
      <c r="N1127">
        <v>7.2</v>
      </c>
    </row>
    <row r="1128" spans="3:14" x14ac:dyDescent="0.2">
      <c r="C1128" t="s">
        <v>594</v>
      </c>
      <c r="D1128">
        <v>11.67</v>
      </c>
      <c r="E1128">
        <v>6.85</v>
      </c>
      <c r="F1128">
        <v>4.0999999999999996</v>
      </c>
      <c r="G1128">
        <v>5.22</v>
      </c>
      <c r="H1128">
        <v>1.1499999999999999</v>
      </c>
      <c r="I1128">
        <v>1.1299999999999999</v>
      </c>
      <c r="J1128">
        <v>1.1299999999999999</v>
      </c>
      <c r="K1128">
        <v>1.1299999999999999</v>
      </c>
      <c r="L1128">
        <v>0.36</v>
      </c>
      <c r="M1128">
        <v>0</v>
      </c>
      <c r="N1128">
        <v>0</v>
      </c>
    </row>
    <row r="1129" spans="3:14" x14ac:dyDescent="0.2">
      <c r="C1129" t="s">
        <v>612</v>
      </c>
      <c r="D1129">
        <v>1.47</v>
      </c>
      <c r="E1129">
        <v>1.1299999999999999</v>
      </c>
      <c r="F1129">
        <v>1.1299999999999999</v>
      </c>
      <c r="G1129">
        <v>1.1299999999999999</v>
      </c>
      <c r="H1129">
        <v>1.1299999999999999</v>
      </c>
      <c r="I1129">
        <v>1.1299999999999999</v>
      </c>
      <c r="J1129">
        <v>1.1299999999999999</v>
      </c>
      <c r="K1129">
        <v>1.1299999999999999</v>
      </c>
      <c r="L1129">
        <v>0.36</v>
      </c>
      <c r="M1129" t="s">
        <v>572</v>
      </c>
      <c r="N1129" t="s">
        <v>3</v>
      </c>
    </row>
    <row r="1130" spans="3:14" x14ac:dyDescent="0.2">
      <c r="C1130" t="s">
        <v>596</v>
      </c>
      <c r="D1130">
        <v>10.199999999999999</v>
      </c>
      <c r="E1130">
        <v>5.72</v>
      </c>
      <c r="F1130">
        <v>2.97</v>
      </c>
      <c r="G1130">
        <v>4.0999999999999996</v>
      </c>
      <c r="H1130">
        <v>0.02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</row>
    <row r="1131" spans="3:14" x14ac:dyDescent="0.2">
      <c r="C1131" s="14" t="s">
        <v>597</v>
      </c>
      <c r="D1131" s="32">
        <f>D1125-D1128</f>
        <v>-1.5099999999999998</v>
      </c>
      <c r="E1131" s="32">
        <f t="shared" ref="E1131:L1131" si="99">E1125-E1128</f>
        <v>2.91</v>
      </c>
      <c r="F1131" s="32">
        <f t="shared" si="99"/>
        <v>5.26</v>
      </c>
      <c r="G1131" s="32">
        <f t="shared" si="99"/>
        <v>4.1399999999999997</v>
      </c>
      <c r="H1131" s="32">
        <f t="shared" si="99"/>
        <v>4.3100000000000005</v>
      </c>
      <c r="I1131" s="32">
        <f t="shared" si="99"/>
        <v>5.45</v>
      </c>
      <c r="J1131" s="32">
        <f t="shared" si="99"/>
        <v>7.61</v>
      </c>
      <c r="K1131" s="32">
        <f t="shared" si="99"/>
        <v>11.100000000000001</v>
      </c>
      <c r="L1131" s="32">
        <f t="shared" si="99"/>
        <v>9.7800000000000011</v>
      </c>
      <c r="M1131" s="32">
        <v>0</v>
      </c>
      <c r="N1131" s="32">
        <v>0</v>
      </c>
    </row>
    <row r="1132" spans="3:14" x14ac:dyDescent="0.2">
      <c r="C1132" t="s">
        <v>598</v>
      </c>
      <c r="D1132" s="20">
        <f>D1124+D1131</f>
        <v>30.590000000000003</v>
      </c>
      <c r="E1132" s="20">
        <f t="shared" ref="E1132:N1132" si="100">E1124+E1131</f>
        <v>33.32</v>
      </c>
      <c r="F1132" s="20">
        <f t="shared" si="100"/>
        <v>34.630000000000003</v>
      </c>
      <c r="G1132" s="20">
        <f t="shared" si="100"/>
        <v>35.519999999999996</v>
      </c>
      <c r="H1132" s="20">
        <f t="shared" si="100"/>
        <v>35</v>
      </c>
      <c r="I1132" s="20">
        <f t="shared" si="100"/>
        <v>34.549999999999997</v>
      </c>
      <c r="J1132" s="20">
        <f t="shared" si="100"/>
        <v>34.440000000000005</v>
      </c>
      <c r="K1132" s="20">
        <f t="shared" si="100"/>
        <v>34.67</v>
      </c>
      <c r="L1132" s="20">
        <f t="shared" si="100"/>
        <v>35.28</v>
      </c>
      <c r="M1132" s="20">
        <f t="shared" si="100"/>
        <v>27.540000000000003</v>
      </c>
      <c r="N1132" s="20">
        <f t="shared" si="100"/>
        <v>29.349999999999998</v>
      </c>
    </row>
    <row r="1134" spans="3:14" x14ac:dyDescent="0.2">
      <c r="C1134" t="s">
        <v>599</v>
      </c>
      <c r="D1134">
        <v>32.950000000000003</v>
      </c>
      <c r="E1134">
        <v>35.33</v>
      </c>
      <c r="F1134">
        <v>36.770000000000003</v>
      </c>
      <c r="G1134">
        <v>38.770000000000003</v>
      </c>
      <c r="H1134">
        <v>40.25</v>
      </c>
      <c r="I1134">
        <v>39.799999999999997</v>
      </c>
      <c r="J1134">
        <v>39.68</v>
      </c>
      <c r="K1134">
        <v>39.909999999999997</v>
      </c>
      <c r="L1134">
        <v>39.76</v>
      </c>
      <c r="M1134">
        <v>40.03</v>
      </c>
      <c r="N1134">
        <v>40.67</v>
      </c>
    </row>
    <row r="1140" spans="2:14" s="2" customFormat="1" ht="15" x14ac:dyDescent="0.25">
      <c r="C1140" s="9" t="s">
        <v>666</v>
      </c>
      <c r="D1140" s="2" t="s">
        <v>664</v>
      </c>
    </row>
    <row r="1141" spans="2:14" s="2" customFormat="1" ht="15" x14ac:dyDescent="0.25">
      <c r="B1141" s="2" t="s">
        <v>614</v>
      </c>
    </row>
    <row r="1142" spans="2:14" s="2" customFormat="1" ht="15" x14ac:dyDescent="0.25">
      <c r="B1142" s="13" t="s">
        <v>615</v>
      </c>
      <c r="D1142" s="2">
        <v>2000</v>
      </c>
      <c r="E1142" s="2">
        <v>2005</v>
      </c>
      <c r="F1142" s="2">
        <v>2010</v>
      </c>
      <c r="G1142" s="2">
        <v>2015</v>
      </c>
      <c r="H1142" s="2">
        <v>2020</v>
      </c>
      <c r="I1142" s="2">
        <v>2025</v>
      </c>
      <c r="J1142" s="2">
        <v>2030</v>
      </c>
      <c r="K1142" s="2">
        <v>2035</v>
      </c>
      <c r="L1142" s="2">
        <v>2040</v>
      </c>
      <c r="M1142" s="2">
        <v>2045</v>
      </c>
      <c r="N1142" s="2">
        <v>2050</v>
      </c>
    </row>
    <row r="1143" spans="2:14" x14ac:dyDescent="0.2">
      <c r="C1143" t="s">
        <v>568</v>
      </c>
      <c r="D1143">
        <v>20.67</v>
      </c>
      <c r="E1143">
        <v>18.78</v>
      </c>
      <c r="F1143">
        <v>21.26</v>
      </c>
      <c r="G1143">
        <v>21.92</v>
      </c>
      <c r="H1143">
        <v>22.98</v>
      </c>
      <c r="I1143">
        <v>23.05</v>
      </c>
      <c r="J1143">
        <v>23.08</v>
      </c>
      <c r="K1143">
        <v>23.13</v>
      </c>
      <c r="L1143">
        <v>23.22</v>
      </c>
      <c r="M1143">
        <v>23.28</v>
      </c>
      <c r="N1143">
        <v>23.29</v>
      </c>
    </row>
    <row r="1144" spans="2:14" x14ac:dyDescent="0.2">
      <c r="C1144" t="s">
        <v>633</v>
      </c>
      <c r="D1144">
        <v>20.67</v>
      </c>
      <c r="E1144">
        <v>18.78</v>
      </c>
      <c r="F1144">
        <v>21.26</v>
      </c>
      <c r="G1144">
        <v>21</v>
      </c>
      <c r="H1144">
        <v>20.78</v>
      </c>
      <c r="I1144">
        <v>20.58</v>
      </c>
      <c r="J1144">
        <v>20.37</v>
      </c>
      <c r="K1144">
        <v>20.07</v>
      </c>
      <c r="L1144">
        <v>19.82</v>
      </c>
      <c r="M1144">
        <v>19.32</v>
      </c>
      <c r="N1144">
        <v>18.95</v>
      </c>
    </row>
    <row r="1145" spans="2:14" x14ac:dyDescent="0.2">
      <c r="C1145" t="s">
        <v>603</v>
      </c>
      <c r="D1145" t="s">
        <v>3</v>
      </c>
      <c r="E1145" t="s">
        <v>3</v>
      </c>
      <c r="F1145" t="s">
        <v>3</v>
      </c>
      <c r="G1145">
        <v>0.91</v>
      </c>
      <c r="H1145">
        <v>2.19</v>
      </c>
      <c r="I1145">
        <v>2.4700000000000002</v>
      </c>
      <c r="J1145">
        <v>2.71</v>
      </c>
      <c r="K1145">
        <v>3.06</v>
      </c>
      <c r="L1145">
        <v>3.4</v>
      </c>
      <c r="M1145">
        <v>3.97</v>
      </c>
      <c r="N1145">
        <v>4.34</v>
      </c>
    </row>
    <row r="1146" spans="2:14" x14ac:dyDescent="0.2">
      <c r="C1146" t="s">
        <v>571</v>
      </c>
      <c r="D1146">
        <v>11.01</v>
      </c>
      <c r="E1146">
        <v>7.97</v>
      </c>
      <c r="F1146">
        <v>10.96</v>
      </c>
      <c r="G1146">
        <v>11.08</v>
      </c>
      <c r="H1146">
        <v>9.77</v>
      </c>
      <c r="I1146">
        <v>7.21</v>
      </c>
      <c r="J1146">
        <v>3.97</v>
      </c>
      <c r="K1146" t="s">
        <v>572</v>
      </c>
      <c r="L1146" t="s">
        <v>3</v>
      </c>
      <c r="M1146" t="s">
        <v>3</v>
      </c>
      <c r="N1146" t="s">
        <v>3</v>
      </c>
    </row>
    <row r="1147" spans="2:14" x14ac:dyDescent="0.2">
      <c r="C1147" t="s">
        <v>604</v>
      </c>
      <c r="D1147">
        <v>0.67</v>
      </c>
      <c r="E1147">
        <v>0.82</v>
      </c>
      <c r="F1147">
        <v>0.88</v>
      </c>
      <c r="G1147">
        <v>1.07</v>
      </c>
      <c r="H1147">
        <v>1.23</v>
      </c>
      <c r="I1147">
        <v>1.3</v>
      </c>
      <c r="J1147">
        <v>1.38</v>
      </c>
      <c r="K1147">
        <v>1.37</v>
      </c>
      <c r="L1147">
        <v>1.31</v>
      </c>
      <c r="M1147">
        <v>1.31</v>
      </c>
      <c r="N1147">
        <v>1.31</v>
      </c>
    </row>
    <row r="1148" spans="2:14" x14ac:dyDescent="0.2">
      <c r="C1148" t="s">
        <v>605</v>
      </c>
      <c r="D1148">
        <v>0.67</v>
      </c>
      <c r="E1148">
        <v>0.82</v>
      </c>
      <c r="F1148">
        <v>0.88</v>
      </c>
      <c r="G1148">
        <v>0.71</v>
      </c>
      <c r="H1148">
        <v>0.62</v>
      </c>
      <c r="I1148">
        <v>0.38</v>
      </c>
      <c r="J1148">
        <v>0.24</v>
      </c>
      <c r="K1148">
        <v>0.14000000000000001</v>
      </c>
      <c r="L1148" t="s">
        <v>572</v>
      </c>
      <c r="M1148" t="s">
        <v>3</v>
      </c>
      <c r="N1148" t="s">
        <v>3</v>
      </c>
    </row>
    <row r="1149" spans="2:14" x14ac:dyDescent="0.2">
      <c r="C1149" t="s">
        <v>606</v>
      </c>
      <c r="D1149" t="s">
        <v>572</v>
      </c>
      <c r="E1149" t="s">
        <v>572</v>
      </c>
      <c r="F1149" t="s">
        <v>3</v>
      </c>
      <c r="G1149" t="s">
        <v>3</v>
      </c>
      <c r="H1149" t="s">
        <v>3</v>
      </c>
      <c r="I1149" t="s">
        <v>3</v>
      </c>
      <c r="J1149" t="s">
        <v>3</v>
      </c>
      <c r="K1149" t="s">
        <v>3</v>
      </c>
      <c r="L1149" t="s">
        <v>3</v>
      </c>
      <c r="M1149" t="s">
        <v>3</v>
      </c>
      <c r="N1149" t="s">
        <v>3</v>
      </c>
    </row>
    <row r="1150" spans="2:14" x14ac:dyDescent="0.2">
      <c r="C1150" t="s">
        <v>607</v>
      </c>
      <c r="D1150" t="s">
        <v>3</v>
      </c>
      <c r="E1150" t="s">
        <v>3</v>
      </c>
      <c r="F1150" t="s">
        <v>3</v>
      </c>
      <c r="G1150">
        <v>0.36</v>
      </c>
      <c r="H1150">
        <v>0.61</v>
      </c>
      <c r="I1150">
        <v>0.92</v>
      </c>
      <c r="J1150">
        <v>1.1499999999999999</v>
      </c>
      <c r="K1150">
        <v>1.23</v>
      </c>
      <c r="L1150">
        <v>1.31</v>
      </c>
      <c r="M1150">
        <v>1.31</v>
      </c>
      <c r="N1150">
        <v>1.31</v>
      </c>
    </row>
    <row r="1151" spans="2:14" x14ac:dyDescent="0.2">
      <c r="C1151" t="s">
        <v>608</v>
      </c>
      <c r="D1151">
        <v>0.36</v>
      </c>
      <c r="E1151">
        <v>0.45</v>
      </c>
      <c r="F1151">
        <v>0.62</v>
      </c>
      <c r="G1151">
        <v>1.07</v>
      </c>
      <c r="H1151">
        <v>1.66</v>
      </c>
      <c r="I1151">
        <v>2.6</v>
      </c>
      <c r="J1151">
        <v>3.96</v>
      </c>
      <c r="K1151">
        <v>6.34</v>
      </c>
      <c r="L1151">
        <v>8.8800000000000008</v>
      </c>
      <c r="M1151">
        <v>11.58</v>
      </c>
      <c r="N1151">
        <v>13.75</v>
      </c>
    </row>
    <row r="1152" spans="2:14" x14ac:dyDescent="0.2">
      <c r="C1152" t="s">
        <v>609</v>
      </c>
      <c r="D1152">
        <v>0.36</v>
      </c>
      <c r="E1152">
        <v>0.45</v>
      </c>
      <c r="F1152">
        <v>0.62</v>
      </c>
      <c r="G1152">
        <v>0.47</v>
      </c>
      <c r="H1152">
        <v>0.42</v>
      </c>
      <c r="I1152">
        <v>0.32</v>
      </c>
      <c r="J1152">
        <v>0.19</v>
      </c>
      <c r="K1152">
        <v>0.04</v>
      </c>
      <c r="L1152">
        <v>0</v>
      </c>
      <c r="M1152" t="s">
        <v>3</v>
      </c>
      <c r="N1152" t="s">
        <v>3</v>
      </c>
    </row>
    <row r="1153" spans="3:14" x14ac:dyDescent="0.2">
      <c r="C1153" t="s">
        <v>610</v>
      </c>
      <c r="D1153" t="s">
        <v>572</v>
      </c>
      <c r="E1153" t="s">
        <v>3</v>
      </c>
      <c r="F1153" t="s">
        <v>3</v>
      </c>
      <c r="G1153">
        <v>0.6</v>
      </c>
      <c r="H1153">
        <v>1.25</v>
      </c>
      <c r="I1153">
        <v>2.2799999999999998</v>
      </c>
      <c r="J1153">
        <v>3.77</v>
      </c>
      <c r="K1153">
        <v>6.3</v>
      </c>
      <c r="L1153">
        <v>8.8800000000000008</v>
      </c>
      <c r="M1153">
        <v>11.58</v>
      </c>
      <c r="N1153">
        <v>13.75</v>
      </c>
    </row>
    <row r="1154" spans="3:14" x14ac:dyDescent="0.2">
      <c r="C1154" t="s">
        <v>580</v>
      </c>
      <c r="D1154">
        <v>0.01</v>
      </c>
      <c r="E1154">
        <v>0.01</v>
      </c>
      <c r="F1154">
        <v>0.06</v>
      </c>
      <c r="G1154">
        <v>0.21</v>
      </c>
      <c r="H1154">
        <v>0.38</v>
      </c>
      <c r="I1154">
        <v>0.71</v>
      </c>
      <c r="J1154">
        <v>1.39</v>
      </c>
      <c r="K1154">
        <v>3.24</v>
      </c>
      <c r="L1154">
        <v>4.92</v>
      </c>
      <c r="M1154">
        <v>6.74</v>
      </c>
      <c r="N1154">
        <v>8.1199999999999992</v>
      </c>
    </row>
    <row r="1155" spans="3:14" x14ac:dyDescent="0.2">
      <c r="C1155" t="s">
        <v>581</v>
      </c>
      <c r="D1155">
        <v>0</v>
      </c>
      <c r="E1155">
        <v>0</v>
      </c>
      <c r="F1155">
        <v>0.01</v>
      </c>
      <c r="G1155">
        <v>0.14000000000000001</v>
      </c>
      <c r="H1155">
        <v>0.26</v>
      </c>
      <c r="I1155">
        <v>0.39</v>
      </c>
      <c r="J1155">
        <v>0.57999999999999996</v>
      </c>
      <c r="K1155">
        <v>0.7</v>
      </c>
      <c r="L1155">
        <v>1.04</v>
      </c>
      <c r="M1155">
        <v>1.37</v>
      </c>
      <c r="N1155">
        <v>1.7</v>
      </c>
    </row>
    <row r="1156" spans="3:14" x14ac:dyDescent="0.2">
      <c r="C1156" t="s">
        <v>582</v>
      </c>
      <c r="D1156" t="s">
        <v>572</v>
      </c>
      <c r="E1156" t="s">
        <v>572</v>
      </c>
      <c r="F1156" t="s">
        <v>3</v>
      </c>
      <c r="G1156" t="s">
        <v>3</v>
      </c>
      <c r="H1156" t="s">
        <v>3</v>
      </c>
      <c r="I1156" t="s">
        <v>3</v>
      </c>
      <c r="J1156" t="s">
        <v>3</v>
      </c>
      <c r="K1156" t="s">
        <v>3</v>
      </c>
      <c r="L1156" t="s">
        <v>3</v>
      </c>
      <c r="M1156" t="s">
        <v>3</v>
      </c>
      <c r="N1156" t="s">
        <v>3</v>
      </c>
    </row>
    <row r="1157" spans="3:14" x14ac:dyDescent="0.2">
      <c r="C1157" t="s">
        <v>47</v>
      </c>
      <c r="D1157" t="s">
        <v>572</v>
      </c>
      <c r="E1157" t="s">
        <v>572</v>
      </c>
      <c r="F1157" t="s">
        <v>3</v>
      </c>
      <c r="G1157">
        <v>0.05</v>
      </c>
      <c r="H1157">
        <v>0.1</v>
      </c>
      <c r="I1157">
        <v>0.2</v>
      </c>
      <c r="J1157">
        <v>0.39</v>
      </c>
      <c r="K1157">
        <v>0.72</v>
      </c>
      <c r="L1157">
        <v>1.2</v>
      </c>
      <c r="M1157">
        <v>1.74</v>
      </c>
      <c r="N1157">
        <v>2.19</v>
      </c>
    </row>
    <row r="1158" spans="3:14" x14ac:dyDescent="0.2">
      <c r="C1158" t="s">
        <v>583</v>
      </c>
      <c r="D1158">
        <v>0.01</v>
      </c>
      <c r="E1158">
        <v>0.01</v>
      </c>
      <c r="F1158">
        <v>0.04</v>
      </c>
      <c r="G1158">
        <v>0.1</v>
      </c>
      <c r="H1158">
        <v>0.19</v>
      </c>
      <c r="I1158">
        <v>0.31</v>
      </c>
      <c r="J1158">
        <v>0.39</v>
      </c>
      <c r="K1158">
        <v>0.4</v>
      </c>
      <c r="L1158">
        <v>0.4</v>
      </c>
      <c r="M1158">
        <v>0.4</v>
      </c>
      <c r="N1158">
        <v>0.41</v>
      </c>
    </row>
    <row r="1159" spans="3:14" x14ac:dyDescent="0.2">
      <c r="C1159" t="s">
        <v>584</v>
      </c>
      <c r="D1159">
        <v>0</v>
      </c>
      <c r="E1159">
        <v>0.01</v>
      </c>
      <c r="F1159">
        <v>0.03</v>
      </c>
      <c r="G1159">
        <v>0.08</v>
      </c>
      <c r="H1159">
        <v>0.18</v>
      </c>
      <c r="I1159">
        <v>0.34</v>
      </c>
      <c r="J1159">
        <v>0.5</v>
      </c>
      <c r="K1159">
        <v>0.56999999999999995</v>
      </c>
      <c r="L1159">
        <v>0.6</v>
      </c>
      <c r="M1159">
        <v>0.61</v>
      </c>
      <c r="N1159">
        <v>0.61</v>
      </c>
    </row>
    <row r="1160" spans="3:14" x14ac:dyDescent="0.2">
      <c r="C1160" t="s">
        <v>585</v>
      </c>
      <c r="D1160">
        <v>0.04</v>
      </c>
      <c r="E1160">
        <v>0.04</v>
      </c>
      <c r="F1160">
        <v>0.05</v>
      </c>
      <c r="G1160">
        <v>0.04</v>
      </c>
      <c r="H1160">
        <v>7.0000000000000007E-2</v>
      </c>
      <c r="I1160">
        <v>0.09</v>
      </c>
      <c r="J1160">
        <v>0.11</v>
      </c>
      <c r="K1160">
        <v>0.12</v>
      </c>
      <c r="L1160">
        <v>0.12</v>
      </c>
      <c r="M1160">
        <v>0.12</v>
      </c>
      <c r="N1160">
        <v>0.12</v>
      </c>
    </row>
    <row r="1161" spans="3:14" x14ac:dyDescent="0.2">
      <c r="C1161" t="s">
        <v>586</v>
      </c>
      <c r="D1161">
        <v>0.28999999999999998</v>
      </c>
      <c r="E1161">
        <v>0.36</v>
      </c>
      <c r="F1161">
        <v>0.41</v>
      </c>
      <c r="G1161">
        <v>0.45</v>
      </c>
      <c r="H1161">
        <v>0.49</v>
      </c>
      <c r="I1161">
        <v>0.56000000000000005</v>
      </c>
      <c r="J1161">
        <v>0.59</v>
      </c>
      <c r="K1161">
        <v>0.6</v>
      </c>
      <c r="L1161">
        <v>0.6</v>
      </c>
      <c r="M1161">
        <v>0.6</v>
      </c>
      <c r="N1161">
        <v>0.6</v>
      </c>
    </row>
    <row r="1162" spans="3:14" x14ac:dyDescent="0.2">
      <c r="C1162" t="s">
        <v>587</v>
      </c>
      <c r="D1162">
        <v>0.02</v>
      </c>
      <c r="E1162">
        <v>0.01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</row>
    <row r="1163" spans="3:14" x14ac:dyDescent="0.2">
      <c r="C1163" t="s">
        <v>588</v>
      </c>
      <c r="D1163" s="20">
        <f t="shared" ref="D1163:J1163" si="101">D1143+D1146+D1147+D1151</f>
        <v>32.71</v>
      </c>
      <c r="E1163" s="20">
        <f t="shared" si="101"/>
        <v>28.02</v>
      </c>
      <c r="F1163" s="20">
        <f t="shared" si="101"/>
        <v>33.72</v>
      </c>
      <c r="G1163" s="20">
        <f t="shared" si="101"/>
        <v>35.14</v>
      </c>
      <c r="H1163" s="20">
        <f t="shared" si="101"/>
        <v>35.639999999999993</v>
      </c>
      <c r="I1163" s="20">
        <f t="shared" si="101"/>
        <v>34.160000000000004</v>
      </c>
      <c r="J1163" s="20">
        <f t="shared" si="101"/>
        <v>32.389999999999993</v>
      </c>
      <c r="K1163" s="20">
        <f>K1143+K1147+K1151</f>
        <v>30.84</v>
      </c>
      <c r="L1163" s="20">
        <f>L1143+L1147+L1151</f>
        <v>33.409999999999997</v>
      </c>
      <c r="M1163" s="20">
        <f>M1143+M1147+M1151</f>
        <v>36.17</v>
      </c>
      <c r="N1163" s="20">
        <f>N1143+N1147+N1151</f>
        <v>38.349999999999994</v>
      </c>
    </row>
    <row r="1164" spans="3:14" x14ac:dyDescent="0.2">
      <c r="C1164" t="s">
        <v>589</v>
      </c>
      <c r="D1164">
        <v>-1.33</v>
      </c>
      <c r="E1164">
        <v>-1.33</v>
      </c>
      <c r="F1164">
        <v>-1.53</v>
      </c>
      <c r="G1164">
        <v>-2.21</v>
      </c>
      <c r="H1164">
        <v>-3.42</v>
      </c>
      <c r="I1164">
        <v>-3.42</v>
      </c>
      <c r="J1164">
        <v>-3.42</v>
      </c>
      <c r="K1164">
        <v>-3.42</v>
      </c>
      <c r="L1164">
        <v>-3.42</v>
      </c>
      <c r="M1164">
        <v>-3.42</v>
      </c>
      <c r="N1164">
        <v>-3.42</v>
      </c>
    </row>
    <row r="1165" spans="3:14" x14ac:dyDescent="0.2">
      <c r="C1165" s="14" t="s">
        <v>590</v>
      </c>
      <c r="D1165" s="32">
        <f>D1163+D1164</f>
        <v>31.380000000000003</v>
      </c>
      <c r="E1165" s="32">
        <f t="shared" ref="E1165:N1165" si="102">E1163+E1164</f>
        <v>26.689999999999998</v>
      </c>
      <c r="F1165" s="32">
        <f t="shared" si="102"/>
        <v>32.19</v>
      </c>
      <c r="G1165" s="32">
        <f t="shared" si="102"/>
        <v>32.93</v>
      </c>
      <c r="H1165" s="32">
        <f t="shared" si="102"/>
        <v>32.219999999999992</v>
      </c>
      <c r="I1165" s="32">
        <f t="shared" si="102"/>
        <v>30.740000000000002</v>
      </c>
      <c r="J1165" s="32">
        <f t="shared" si="102"/>
        <v>28.969999999999992</v>
      </c>
      <c r="K1165" s="32">
        <f t="shared" si="102"/>
        <v>27.42</v>
      </c>
      <c r="L1165" s="32">
        <f t="shared" si="102"/>
        <v>29.989999999999995</v>
      </c>
      <c r="M1165" s="32">
        <f t="shared" si="102"/>
        <v>32.75</v>
      </c>
      <c r="N1165" s="32">
        <f t="shared" si="102"/>
        <v>34.929999999999993</v>
      </c>
    </row>
    <row r="1166" spans="3:14" x14ac:dyDescent="0.2">
      <c r="C1166" t="s">
        <v>591</v>
      </c>
      <c r="D1166">
        <v>8.56</v>
      </c>
      <c r="E1166">
        <v>8.2200000000000006</v>
      </c>
      <c r="F1166">
        <v>7.88</v>
      </c>
      <c r="G1166">
        <v>7.88</v>
      </c>
      <c r="H1166">
        <v>4.5999999999999996</v>
      </c>
      <c r="I1166">
        <v>3.85</v>
      </c>
      <c r="J1166">
        <v>3.85</v>
      </c>
      <c r="K1166">
        <v>2.0099999999999998</v>
      </c>
      <c r="L1166">
        <v>0.6</v>
      </c>
      <c r="M1166" t="s">
        <v>3</v>
      </c>
      <c r="N1166" t="s">
        <v>3</v>
      </c>
    </row>
    <row r="1167" spans="3:14" x14ac:dyDescent="0.2">
      <c r="C1167" t="s">
        <v>592</v>
      </c>
      <c r="D1167">
        <v>8.56</v>
      </c>
      <c r="E1167">
        <v>8.2200000000000006</v>
      </c>
      <c r="F1167">
        <v>7.88</v>
      </c>
      <c r="G1167">
        <v>7.88</v>
      </c>
      <c r="H1167">
        <v>4.5999999999999996</v>
      </c>
      <c r="I1167">
        <v>3.85</v>
      </c>
      <c r="J1167">
        <v>3.85</v>
      </c>
      <c r="K1167">
        <v>1.19</v>
      </c>
      <c r="L1167">
        <v>0.6</v>
      </c>
      <c r="M1167" t="s">
        <v>572</v>
      </c>
      <c r="N1167" t="s">
        <v>3</v>
      </c>
    </row>
    <row r="1168" spans="3:14" x14ac:dyDescent="0.2">
      <c r="C1168" t="s">
        <v>593</v>
      </c>
      <c r="D1168" t="s">
        <v>572</v>
      </c>
      <c r="E1168" t="s">
        <v>3</v>
      </c>
      <c r="F1168" t="s">
        <v>3</v>
      </c>
      <c r="G1168" t="s">
        <v>3</v>
      </c>
      <c r="H1168" t="s">
        <v>3</v>
      </c>
      <c r="I1168" t="s">
        <v>3</v>
      </c>
      <c r="J1168" t="s">
        <v>3</v>
      </c>
      <c r="K1168">
        <v>0.82</v>
      </c>
      <c r="L1168" t="s">
        <v>572</v>
      </c>
      <c r="M1168" t="s">
        <v>3</v>
      </c>
      <c r="N1168" t="s">
        <v>3</v>
      </c>
    </row>
    <row r="1169" spans="3:14" x14ac:dyDescent="0.2">
      <c r="C1169" t="s">
        <v>594</v>
      </c>
      <c r="D1169">
        <v>14.39</v>
      </c>
      <c r="E1169">
        <v>6.9</v>
      </c>
      <c r="F1169">
        <v>11.09</v>
      </c>
      <c r="G1169">
        <v>11.24</v>
      </c>
      <c r="H1169">
        <v>7.82</v>
      </c>
      <c r="I1169">
        <v>6.1</v>
      </c>
      <c r="J1169">
        <v>4.58</v>
      </c>
      <c r="K1169">
        <v>1.1399999999999999</v>
      </c>
      <c r="L1169">
        <v>1.93</v>
      </c>
      <c r="M1169">
        <v>3.73</v>
      </c>
      <c r="N1169">
        <v>5.53</v>
      </c>
    </row>
    <row r="1170" spans="3:14" x14ac:dyDescent="0.2">
      <c r="C1170" t="s">
        <v>612</v>
      </c>
      <c r="D1170">
        <v>1.35</v>
      </c>
      <c r="E1170">
        <v>1.1399999999999999</v>
      </c>
      <c r="F1170">
        <v>1.1399999999999999</v>
      </c>
      <c r="G1170">
        <v>1.1399999999999999</v>
      </c>
      <c r="H1170">
        <v>1.1399999999999999</v>
      </c>
      <c r="I1170">
        <v>1.1399999999999999</v>
      </c>
      <c r="J1170">
        <v>1.1399999999999999</v>
      </c>
      <c r="K1170">
        <v>1.1399999999999999</v>
      </c>
      <c r="L1170">
        <v>0.3</v>
      </c>
      <c r="M1170" t="s">
        <v>572</v>
      </c>
      <c r="N1170" t="s">
        <v>3</v>
      </c>
    </row>
    <row r="1171" spans="3:14" x14ac:dyDescent="0.2">
      <c r="C1171" t="s">
        <v>596</v>
      </c>
      <c r="D1171">
        <v>13.04</v>
      </c>
      <c r="E1171">
        <v>5.76</v>
      </c>
      <c r="F1171">
        <v>9.9600000000000009</v>
      </c>
      <c r="G1171">
        <v>10.1</v>
      </c>
      <c r="H1171">
        <v>6.69</v>
      </c>
      <c r="I1171">
        <v>4.96</v>
      </c>
      <c r="J1171">
        <v>3.44</v>
      </c>
      <c r="K1171" t="s">
        <v>572</v>
      </c>
      <c r="L1171">
        <v>1.63</v>
      </c>
      <c r="M1171">
        <v>3.73</v>
      </c>
      <c r="N1171">
        <v>5.53</v>
      </c>
    </row>
    <row r="1172" spans="3:14" x14ac:dyDescent="0.2">
      <c r="C1172" s="14" t="s">
        <v>597</v>
      </c>
      <c r="D1172" s="32">
        <f>D1166-D1169</f>
        <v>-5.83</v>
      </c>
      <c r="E1172" s="32">
        <f t="shared" ref="E1172:L1172" si="103">E1166-E1169</f>
        <v>1.3200000000000003</v>
      </c>
      <c r="F1172" s="32">
        <f t="shared" si="103"/>
        <v>-3.21</v>
      </c>
      <c r="G1172" s="32">
        <f t="shared" si="103"/>
        <v>-3.3600000000000003</v>
      </c>
      <c r="H1172" s="32">
        <f t="shared" si="103"/>
        <v>-3.2200000000000006</v>
      </c>
      <c r="I1172" s="32">
        <f t="shared" si="103"/>
        <v>-2.2499999999999996</v>
      </c>
      <c r="J1172" s="32">
        <f t="shared" si="103"/>
        <v>-0.73</v>
      </c>
      <c r="K1172" s="32">
        <f t="shared" si="103"/>
        <v>0.86999999999999988</v>
      </c>
      <c r="L1172" s="32">
        <f t="shared" si="103"/>
        <v>-1.33</v>
      </c>
      <c r="M1172" s="32">
        <v>0</v>
      </c>
      <c r="N1172" s="32">
        <v>0</v>
      </c>
    </row>
    <row r="1173" spans="3:14" x14ac:dyDescent="0.2">
      <c r="C1173" t="s">
        <v>598</v>
      </c>
      <c r="D1173" s="20">
        <f>D1165+D1172</f>
        <v>25.550000000000004</v>
      </c>
      <c r="E1173" s="20">
        <f t="shared" ref="E1173:N1173" si="104">E1165+E1172</f>
        <v>28.009999999999998</v>
      </c>
      <c r="F1173" s="20">
        <f t="shared" si="104"/>
        <v>28.979999999999997</v>
      </c>
      <c r="G1173" s="20">
        <f t="shared" si="104"/>
        <v>29.57</v>
      </c>
      <c r="H1173" s="20">
        <f t="shared" si="104"/>
        <v>28.999999999999993</v>
      </c>
      <c r="I1173" s="20">
        <f t="shared" si="104"/>
        <v>28.490000000000002</v>
      </c>
      <c r="J1173" s="20">
        <f t="shared" si="104"/>
        <v>28.239999999999991</v>
      </c>
      <c r="K1173" s="20">
        <f t="shared" si="104"/>
        <v>28.290000000000003</v>
      </c>
      <c r="L1173" s="20">
        <f t="shared" si="104"/>
        <v>28.659999999999997</v>
      </c>
      <c r="M1173" s="20">
        <f t="shared" si="104"/>
        <v>32.75</v>
      </c>
      <c r="N1173" s="20">
        <f t="shared" si="104"/>
        <v>34.929999999999993</v>
      </c>
    </row>
    <row r="1175" spans="3:14" x14ac:dyDescent="0.2">
      <c r="C1175" t="s">
        <v>599</v>
      </c>
      <c r="D1175">
        <v>28.23</v>
      </c>
      <c r="E1175">
        <v>30.48</v>
      </c>
      <c r="F1175">
        <v>31.64</v>
      </c>
      <c r="G1175">
        <v>32.909999999999997</v>
      </c>
      <c r="H1175">
        <v>33.56</v>
      </c>
      <c r="I1175">
        <v>33.04</v>
      </c>
      <c r="J1175">
        <v>32.799999999999997</v>
      </c>
      <c r="K1175">
        <v>32.86</v>
      </c>
      <c r="L1175">
        <v>32.369999999999997</v>
      </c>
      <c r="M1175">
        <v>32.450000000000003</v>
      </c>
      <c r="N1175">
        <v>32.82</v>
      </c>
    </row>
    <row r="1181" spans="3:14" x14ac:dyDescent="0.2">
      <c r="C1181" t="s">
        <v>616</v>
      </c>
    </row>
    <row r="1183" spans="3:14" s="2" customFormat="1" ht="15" x14ac:dyDescent="0.25">
      <c r="C1183" s="9" t="s">
        <v>667</v>
      </c>
      <c r="D1183" s="2" t="s">
        <v>664</v>
      </c>
    </row>
    <row r="1184" spans="3:14" s="2" customFormat="1" ht="15" x14ac:dyDescent="0.25">
      <c r="C1184" s="2" t="s">
        <v>618</v>
      </c>
    </row>
    <row r="1185" spans="3:14" s="2" customFormat="1" ht="15" x14ac:dyDescent="0.25">
      <c r="D1185" s="2">
        <v>2000</v>
      </c>
      <c r="E1185" s="2">
        <v>2005</v>
      </c>
      <c r="F1185" s="2">
        <v>2010</v>
      </c>
      <c r="G1185" s="2">
        <v>2015</v>
      </c>
      <c r="H1185" s="2">
        <v>2020</v>
      </c>
      <c r="I1185" s="2">
        <v>2025</v>
      </c>
      <c r="J1185" s="2">
        <v>2030</v>
      </c>
      <c r="K1185" s="2">
        <v>2035</v>
      </c>
      <c r="L1185" s="2">
        <v>2040</v>
      </c>
      <c r="M1185" s="2">
        <v>2045</v>
      </c>
      <c r="N1185" s="2">
        <v>2050</v>
      </c>
    </row>
    <row r="1186" spans="3:14" x14ac:dyDescent="0.2">
      <c r="C1186" t="s">
        <v>619</v>
      </c>
      <c r="D1186">
        <v>2.9</v>
      </c>
      <c r="E1186">
        <v>2.2000000000000002</v>
      </c>
      <c r="F1186">
        <v>2.2000000000000002</v>
      </c>
      <c r="G1186">
        <v>2.7</v>
      </c>
      <c r="H1186">
        <v>2.7</v>
      </c>
      <c r="I1186">
        <v>2.9</v>
      </c>
      <c r="J1186">
        <v>3</v>
      </c>
      <c r="K1186">
        <v>2.4</v>
      </c>
      <c r="L1186">
        <v>2.4</v>
      </c>
      <c r="M1186">
        <v>2.4</v>
      </c>
      <c r="N1186">
        <v>2.4</v>
      </c>
    </row>
    <row r="1187" spans="3:14" x14ac:dyDescent="0.2">
      <c r="C1187" t="s">
        <v>332</v>
      </c>
      <c r="D1187">
        <v>10.9</v>
      </c>
      <c r="E1187">
        <v>11.7</v>
      </c>
      <c r="F1187">
        <v>11.6</v>
      </c>
      <c r="G1187">
        <v>15.9</v>
      </c>
      <c r="H1187">
        <v>18.7</v>
      </c>
      <c r="I1187">
        <v>19.7</v>
      </c>
      <c r="J1187">
        <v>21.1</v>
      </c>
      <c r="K1187">
        <v>20.399999999999999</v>
      </c>
      <c r="L1187">
        <v>19.100000000000001</v>
      </c>
      <c r="M1187">
        <v>19</v>
      </c>
      <c r="N1187">
        <v>18.899999999999999</v>
      </c>
    </row>
    <row r="1188" spans="3:14" x14ac:dyDescent="0.2">
      <c r="C1188" t="s">
        <v>101</v>
      </c>
      <c r="D1188">
        <v>2.2000000000000002</v>
      </c>
      <c r="E1188">
        <v>2.7</v>
      </c>
      <c r="F1188">
        <v>5.9</v>
      </c>
      <c r="G1188">
        <v>11.2</v>
      </c>
      <c r="H1188">
        <v>19.600000000000001</v>
      </c>
      <c r="I1188">
        <v>31.7</v>
      </c>
      <c r="J1188">
        <v>40.4</v>
      </c>
      <c r="K1188">
        <v>41.5</v>
      </c>
      <c r="L1188">
        <v>41.3</v>
      </c>
      <c r="M1188">
        <v>40</v>
      </c>
      <c r="N1188">
        <v>38.4</v>
      </c>
    </row>
    <row r="1189" spans="3:14" x14ac:dyDescent="0.2">
      <c r="C1189" t="s">
        <v>620</v>
      </c>
      <c r="D1189">
        <v>42.3</v>
      </c>
      <c r="E1189">
        <v>51.8</v>
      </c>
      <c r="F1189">
        <v>56.6</v>
      </c>
      <c r="G1189">
        <v>48.9</v>
      </c>
      <c r="H1189">
        <v>52.7</v>
      </c>
      <c r="I1189">
        <v>55.3</v>
      </c>
      <c r="J1189">
        <v>57.1</v>
      </c>
      <c r="K1189">
        <v>56.4</v>
      </c>
      <c r="L1189">
        <v>56</v>
      </c>
      <c r="M1189">
        <v>53.8</v>
      </c>
      <c r="N1189">
        <v>53.1</v>
      </c>
    </row>
    <row r="1190" spans="3:14" x14ac:dyDescent="0.2">
      <c r="C1190" t="s">
        <v>621</v>
      </c>
      <c r="D1190">
        <v>261.89999999999998</v>
      </c>
      <c r="E1190">
        <v>233</v>
      </c>
      <c r="F1190">
        <v>266.10000000000002</v>
      </c>
      <c r="G1190">
        <v>260.10000000000002</v>
      </c>
      <c r="H1190">
        <v>228.6</v>
      </c>
      <c r="I1190">
        <v>166.6</v>
      </c>
      <c r="J1190">
        <v>90.6</v>
      </c>
      <c r="K1190">
        <v>0</v>
      </c>
      <c r="L1190">
        <v>0</v>
      </c>
      <c r="M1190">
        <v>0</v>
      </c>
      <c r="N1190">
        <v>0</v>
      </c>
    </row>
    <row r="1191" spans="3:14" x14ac:dyDescent="0.2">
      <c r="C1191" t="s">
        <v>132</v>
      </c>
      <c r="D1191">
        <v>138.19999999999999</v>
      </c>
      <c r="E1191">
        <v>123.6</v>
      </c>
      <c r="F1191">
        <v>127.5</v>
      </c>
      <c r="G1191">
        <v>140.4</v>
      </c>
      <c r="H1191">
        <v>151.1</v>
      </c>
      <c r="I1191">
        <v>152.5</v>
      </c>
      <c r="J1191">
        <v>153.6</v>
      </c>
      <c r="K1191">
        <v>154.9</v>
      </c>
      <c r="L1191">
        <v>156.4</v>
      </c>
      <c r="M1191">
        <v>157.69999999999999</v>
      </c>
      <c r="N1191">
        <v>158.9</v>
      </c>
    </row>
    <row r="1192" spans="3:14" x14ac:dyDescent="0.2">
      <c r="C1192" t="s">
        <v>622</v>
      </c>
      <c r="D1192">
        <v>0</v>
      </c>
      <c r="E1192">
        <v>0</v>
      </c>
      <c r="F1192">
        <v>0.1</v>
      </c>
      <c r="G1192">
        <v>1.3</v>
      </c>
      <c r="H1192">
        <v>2.4</v>
      </c>
      <c r="I1192">
        <v>3.6</v>
      </c>
      <c r="J1192">
        <v>5.3</v>
      </c>
      <c r="K1192">
        <v>6.3</v>
      </c>
      <c r="L1192">
        <v>9.3000000000000007</v>
      </c>
      <c r="M1192">
        <v>12.3</v>
      </c>
      <c r="N1192">
        <v>15.3</v>
      </c>
    </row>
    <row r="1193" spans="3:14" x14ac:dyDescent="0.2">
      <c r="C1193" t="s">
        <v>623</v>
      </c>
      <c r="D1193">
        <v>0</v>
      </c>
      <c r="E1193">
        <v>0.1</v>
      </c>
      <c r="F1193">
        <v>0.3</v>
      </c>
      <c r="G1193">
        <v>1</v>
      </c>
      <c r="H1193">
        <v>1.9</v>
      </c>
      <c r="I1193">
        <v>3.5</v>
      </c>
      <c r="J1193">
        <v>6.9</v>
      </c>
      <c r="K1193">
        <v>16</v>
      </c>
      <c r="L1193">
        <v>24.3</v>
      </c>
      <c r="M1193">
        <v>33.200000000000003</v>
      </c>
      <c r="N1193">
        <v>40</v>
      </c>
    </row>
    <row r="1194" spans="3:14" x14ac:dyDescent="0.2">
      <c r="C1194" t="s">
        <v>47</v>
      </c>
      <c r="D1194">
        <v>0</v>
      </c>
      <c r="E1194">
        <v>0</v>
      </c>
      <c r="F1194">
        <v>0</v>
      </c>
      <c r="G1194">
        <v>0.4</v>
      </c>
      <c r="H1194">
        <v>0.7</v>
      </c>
      <c r="I1194">
        <v>1.4</v>
      </c>
      <c r="J1194">
        <v>2.8</v>
      </c>
      <c r="K1194">
        <v>5.0999999999999996</v>
      </c>
      <c r="L1194">
        <v>8.6999999999999993</v>
      </c>
      <c r="M1194">
        <v>12.5</v>
      </c>
      <c r="N1194">
        <v>15.8</v>
      </c>
    </row>
    <row r="1195" spans="3:14" x14ac:dyDescent="0.2">
      <c r="C1195" t="s">
        <v>624</v>
      </c>
      <c r="D1195">
        <v>458.3</v>
      </c>
      <c r="E1195">
        <v>425.1</v>
      </c>
      <c r="F1195">
        <v>470.3</v>
      </c>
      <c r="G1195">
        <v>481.8</v>
      </c>
      <c r="H1195">
        <v>478.3</v>
      </c>
      <c r="I1195">
        <v>437.1</v>
      </c>
      <c r="J1195">
        <v>380.6</v>
      </c>
      <c r="K1195">
        <v>303.10000000000002</v>
      </c>
      <c r="L1195">
        <v>317.5</v>
      </c>
      <c r="M1195">
        <v>331</v>
      </c>
      <c r="N1195">
        <v>342.8</v>
      </c>
    </row>
    <row r="1196" spans="3:14" x14ac:dyDescent="0.2">
      <c r="C1196" t="s">
        <v>625</v>
      </c>
      <c r="D1196">
        <v>-26.5</v>
      </c>
      <c r="E1196">
        <v>15.2</v>
      </c>
      <c r="F1196">
        <v>7.4</v>
      </c>
      <c r="G1196">
        <v>2.8</v>
      </c>
      <c r="H1196">
        <v>3.9</v>
      </c>
      <c r="I1196">
        <v>11.6</v>
      </c>
      <c r="J1196">
        <v>24.8</v>
      </c>
      <c r="K1196">
        <v>43.1</v>
      </c>
      <c r="L1196">
        <v>30.4</v>
      </c>
      <c r="M1196">
        <v>16.7</v>
      </c>
      <c r="N1196">
        <v>6</v>
      </c>
    </row>
    <row r="1197" spans="3:14" x14ac:dyDescent="0.2">
      <c r="C1197" t="s">
        <v>626</v>
      </c>
      <c r="D1197">
        <v>-7.5</v>
      </c>
      <c r="E1197">
        <v>-8.1999999999999993</v>
      </c>
      <c r="F1197">
        <v>-9.5</v>
      </c>
      <c r="G1197">
        <v>-14.3</v>
      </c>
      <c r="H1197">
        <v>-19.399999999999999</v>
      </c>
      <c r="I1197">
        <v>-25.3</v>
      </c>
      <c r="J1197">
        <v>-29.9</v>
      </c>
      <c r="K1197">
        <v>-29.8</v>
      </c>
      <c r="L1197">
        <v>-29.2</v>
      </c>
      <c r="M1197">
        <v>-28.9</v>
      </c>
      <c r="N1197">
        <v>-28.3</v>
      </c>
    </row>
    <row r="1198" spans="3:14" x14ac:dyDescent="0.2">
      <c r="C1198" t="s">
        <v>627</v>
      </c>
      <c r="D1198">
        <v>424.3</v>
      </c>
      <c r="E1198">
        <v>432.2</v>
      </c>
      <c r="F1198">
        <v>468.1</v>
      </c>
      <c r="G1198">
        <v>470.3</v>
      </c>
      <c r="H1198">
        <v>462.8</v>
      </c>
      <c r="I1198">
        <v>423.3</v>
      </c>
      <c r="J1198">
        <v>375.5</v>
      </c>
      <c r="K1198">
        <v>316.39999999999998</v>
      </c>
      <c r="L1198">
        <v>318.60000000000002</v>
      </c>
      <c r="M1198">
        <v>318.8</v>
      </c>
      <c r="N1198">
        <v>320.5</v>
      </c>
    </row>
    <row r="1199" spans="3:14" x14ac:dyDescent="0.2">
      <c r="C1199" t="s">
        <v>628</v>
      </c>
      <c r="D1199" s="75">
        <v>0.60099999999999998</v>
      </c>
      <c r="E1199" s="75">
        <v>0.58099999999999996</v>
      </c>
      <c r="F1199" s="75">
        <v>0.59499999999999997</v>
      </c>
      <c r="G1199" s="75">
        <v>0.57799999999999996</v>
      </c>
      <c r="H1199" s="75">
        <v>0.52300000000000002</v>
      </c>
      <c r="I1199" s="75">
        <v>0.433</v>
      </c>
      <c r="J1199" s="75">
        <v>0.30099999999999999</v>
      </c>
      <c r="K1199" s="75">
        <v>7.4999999999999997E-2</v>
      </c>
      <c r="L1199" s="75">
        <v>6.8000000000000005E-2</v>
      </c>
      <c r="M1199" s="75">
        <v>6.5000000000000002E-2</v>
      </c>
      <c r="N1199" s="75">
        <v>6.2E-2</v>
      </c>
    </row>
    <row r="1207" spans="3:14" s="76" customFormat="1" ht="30" x14ac:dyDescent="0.4">
      <c r="C1207" s="76">
        <v>3.3</v>
      </c>
      <c r="D1207" s="76" t="s">
        <v>668</v>
      </c>
    </row>
    <row r="1210" spans="3:14" s="2" customFormat="1" ht="15" x14ac:dyDescent="0.25">
      <c r="C1210" s="9" t="s">
        <v>669</v>
      </c>
      <c r="D1210" s="2" t="s">
        <v>670</v>
      </c>
    </row>
    <row r="1211" spans="3:14" x14ac:dyDescent="0.2">
      <c r="C1211" t="s">
        <v>671</v>
      </c>
    </row>
    <row r="1212" spans="3:14" x14ac:dyDescent="0.2">
      <c r="C1212" t="s">
        <v>672</v>
      </c>
    </row>
    <row r="1213" spans="3:14" ht="15" x14ac:dyDescent="0.25">
      <c r="D1213" s="2">
        <v>2000</v>
      </c>
      <c r="E1213" s="2">
        <v>2005</v>
      </c>
      <c r="F1213" s="2">
        <v>2010</v>
      </c>
      <c r="G1213" s="2">
        <v>2015</v>
      </c>
      <c r="H1213" s="2">
        <v>2020</v>
      </c>
      <c r="I1213" s="2">
        <v>2025</v>
      </c>
      <c r="J1213" s="2">
        <v>2030</v>
      </c>
      <c r="K1213" s="2">
        <v>2035</v>
      </c>
      <c r="L1213" s="2">
        <v>2040</v>
      </c>
      <c r="M1213" s="2">
        <v>2045</v>
      </c>
      <c r="N1213" s="2">
        <v>2050</v>
      </c>
    </row>
    <row r="1214" spans="3:14" x14ac:dyDescent="0.2">
      <c r="C1214" t="s">
        <v>673</v>
      </c>
      <c r="D1214">
        <v>0.4</v>
      </c>
      <c r="E1214">
        <v>0.4</v>
      </c>
      <c r="F1214">
        <v>0.4</v>
      </c>
      <c r="G1214">
        <v>0.5</v>
      </c>
      <c r="H1214">
        <v>1.4</v>
      </c>
      <c r="I1214">
        <v>2.7</v>
      </c>
      <c r="J1214">
        <v>4.5</v>
      </c>
      <c r="K1214">
        <v>8.9</v>
      </c>
      <c r="L1214">
        <v>8.9</v>
      </c>
      <c r="M1214">
        <v>9.1999999999999993</v>
      </c>
      <c r="N1214">
        <v>9.1999999999999993</v>
      </c>
    </row>
    <row r="1215" spans="3:14" x14ac:dyDescent="0.2">
      <c r="C1215" t="s">
        <v>674</v>
      </c>
      <c r="D1215">
        <v>0.4</v>
      </c>
      <c r="E1215">
        <v>0.4</v>
      </c>
      <c r="F1215">
        <v>0.4</v>
      </c>
      <c r="G1215">
        <v>0.5</v>
      </c>
      <c r="H1215">
        <v>1.1000000000000001</v>
      </c>
      <c r="I1215">
        <v>2.1</v>
      </c>
      <c r="J1215">
        <v>3</v>
      </c>
      <c r="K1215">
        <v>6.6</v>
      </c>
      <c r="L1215">
        <v>5.5</v>
      </c>
      <c r="M1215">
        <v>4.7</v>
      </c>
      <c r="N1215">
        <v>4.4000000000000004</v>
      </c>
    </row>
    <row r="1216" spans="3:14" x14ac:dyDescent="0.2">
      <c r="C1216" t="s">
        <v>675</v>
      </c>
      <c r="D1216">
        <v>0.4</v>
      </c>
      <c r="E1216">
        <v>0.4</v>
      </c>
      <c r="F1216">
        <v>0.4</v>
      </c>
      <c r="G1216">
        <v>0.5</v>
      </c>
      <c r="H1216">
        <v>1.4</v>
      </c>
      <c r="I1216">
        <v>2.7</v>
      </c>
      <c r="J1216">
        <v>4.5</v>
      </c>
      <c r="K1216">
        <v>8.9</v>
      </c>
      <c r="L1216">
        <v>8.9</v>
      </c>
      <c r="M1216">
        <v>9.1999999999999993</v>
      </c>
      <c r="N1216">
        <v>9.1999999999999993</v>
      </c>
    </row>
    <row r="1217" spans="3:14" x14ac:dyDescent="0.2">
      <c r="C1217" t="s">
        <v>676</v>
      </c>
      <c r="D1217">
        <v>0.4</v>
      </c>
      <c r="E1217">
        <v>0.4</v>
      </c>
      <c r="F1217">
        <v>0.4</v>
      </c>
      <c r="G1217">
        <v>0.5</v>
      </c>
      <c r="H1217">
        <v>1.1000000000000001</v>
      </c>
      <c r="I1217">
        <v>2.1</v>
      </c>
      <c r="J1217">
        <v>3</v>
      </c>
      <c r="K1217">
        <v>6.6</v>
      </c>
      <c r="L1217">
        <v>5.5</v>
      </c>
      <c r="M1217">
        <v>4.7</v>
      </c>
      <c r="N1217">
        <v>4.4000000000000004</v>
      </c>
    </row>
    <row r="1220" spans="3:14" s="2" customFormat="1" ht="15" x14ac:dyDescent="0.25">
      <c r="C1220" s="9" t="s">
        <v>677</v>
      </c>
      <c r="D1220" s="2" t="s">
        <v>678</v>
      </c>
    </row>
    <row r="1221" spans="3:14" x14ac:dyDescent="0.2">
      <c r="C1221" t="s">
        <v>679</v>
      </c>
    </row>
    <row r="1222" spans="3:14" x14ac:dyDescent="0.2">
      <c r="C1222" t="s">
        <v>672</v>
      </c>
    </row>
    <row r="1223" spans="3:14" ht="15" x14ac:dyDescent="0.25">
      <c r="D1223" s="2">
        <v>2000</v>
      </c>
      <c r="E1223" s="2">
        <v>2005</v>
      </c>
      <c r="F1223" s="2">
        <v>2010</v>
      </c>
      <c r="G1223" s="2">
        <v>2015</v>
      </c>
      <c r="H1223" s="2">
        <v>2020</v>
      </c>
      <c r="I1223" s="2">
        <v>2025</v>
      </c>
      <c r="J1223" s="2">
        <v>2030</v>
      </c>
      <c r="K1223" s="2">
        <v>2035</v>
      </c>
      <c r="L1223" s="2">
        <v>2040</v>
      </c>
      <c r="M1223" s="2">
        <v>2045</v>
      </c>
      <c r="N1223" s="2">
        <v>2050</v>
      </c>
    </row>
    <row r="1224" spans="3:14" x14ac:dyDescent="0.2">
      <c r="C1224" t="s">
        <v>673</v>
      </c>
      <c r="D1224">
        <v>0.4</v>
      </c>
      <c r="E1224">
        <v>0.4</v>
      </c>
      <c r="F1224">
        <v>0.4</v>
      </c>
      <c r="G1224">
        <v>0.5</v>
      </c>
      <c r="H1224">
        <v>0.8</v>
      </c>
      <c r="I1224">
        <v>1.6</v>
      </c>
      <c r="J1224">
        <v>2.4</v>
      </c>
      <c r="K1224">
        <v>5.7</v>
      </c>
      <c r="L1224">
        <v>4.9000000000000004</v>
      </c>
      <c r="M1224">
        <v>4.5</v>
      </c>
      <c r="N1224">
        <v>3.8</v>
      </c>
    </row>
    <row r="1225" spans="3:14" x14ac:dyDescent="0.2">
      <c r="C1225" t="s">
        <v>674</v>
      </c>
      <c r="D1225">
        <v>0.4</v>
      </c>
      <c r="E1225">
        <v>0.4</v>
      </c>
      <c r="F1225">
        <v>0.4</v>
      </c>
      <c r="G1225">
        <v>0.5</v>
      </c>
      <c r="H1225">
        <v>0.6</v>
      </c>
      <c r="I1225">
        <v>1.1000000000000001</v>
      </c>
      <c r="J1225">
        <v>1.6</v>
      </c>
      <c r="K1225">
        <v>3.5</v>
      </c>
      <c r="L1225">
        <v>2.7</v>
      </c>
      <c r="M1225">
        <v>2</v>
      </c>
      <c r="N1225">
        <v>1.3</v>
      </c>
    </row>
    <row r="1226" spans="3:14" x14ac:dyDescent="0.2">
      <c r="C1226" t="s">
        <v>680</v>
      </c>
      <c r="D1226">
        <v>0.4</v>
      </c>
      <c r="E1226">
        <v>0.4</v>
      </c>
      <c r="F1226">
        <v>0.4</v>
      </c>
      <c r="G1226">
        <v>0.5</v>
      </c>
      <c r="H1226">
        <v>0.6</v>
      </c>
      <c r="I1226">
        <v>0.6</v>
      </c>
      <c r="J1226">
        <v>0.6</v>
      </c>
      <c r="K1226">
        <v>0.6</v>
      </c>
      <c r="L1226">
        <v>0.5</v>
      </c>
      <c r="M1226">
        <v>0.5</v>
      </c>
      <c r="N1226">
        <v>0.5</v>
      </c>
    </row>
    <row r="1227" spans="3:14" x14ac:dyDescent="0.2">
      <c r="C1227" t="s">
        <v>675</v>
      </c>
      <c r="D1227">
        <v>0.4</v>
      </c>
      <c r="E1227">
        <v>0.4</v>
      </c>
      <c r="F1227">
        <v>0.4</v>
      </c>
      <c r="G1227">
        <v>0.5</v>
      </c>
      <c r="H1227">
        <v>0.8</v>
      </c>
      <c r="I1227">
        <v>1.6</v>
      </c>
      <c r="J1227">
        <v>2.4</v>
      </c>
      <c r="K1227">
        <v>5.7</v>
      </c>
      <c r="L1227">
        <v>4.9000000000000004</v>
      </c>
      <c r="M1227">
        <v>4.5</v>
      </c>
      <c r="N1227">
        <v>3.8</v>
      </c>
    </row>
    <row r="1228" spans="3:14" x14ac:dyDescent="0.2">
      <c r="C1228" t="s">
        <v>676</v>
      </c>
      <c r="D1228">
        <v>0.4</v>
      </c>
      <c r="E1228">
        <v>0.4</v>
      </c>
      <c r="F1228">
        <v>0.4</v>
      </c>
      <c r="G1228">
        <v>0.5</v>
      </c>
      <c r="H1228">
        <v>0.6</v>
      </c>
      <c r="I1228">
        <v>1.1000000000000001</v>
      </c>
      <c r="J1228">
        <v>1.6</v>
      </c>
      <c r="K1228">
        <v>3.5</v>
      </c>
      <c r="L1228">
        <v>2.7</v>
      </c>
      <c r="M1228">
        <v>2</v>
      </c>
      <c r="N1228">
        <v>1.3</v>
      </c>
    </row>
    <row r="1229" spans="3:14" x14ac:dyDescent="0.2">
      <c r="C1229" t="s">
        <v>681</v>
      </c>
      <c r="D1229">
        <v>0.4</v>
      </c>
      <c r="E1229">
        <v>0.4</v>
      </c>
      <c r="F1229">
        <v>0.4</v>
      </c>
      <c r="G1229">
        <v>0.5</v>
      </c>
      <c r="H1229">
        <v>0.6</v>
      </c>
      <c r="I1229">
        <v>0.6</v>
      </c>
      <c r="J1229">
        <v>0.6</v>
      </c>
      <c r="K1229">
        <v>0.6</v>
      </c>
      <c r="L1229">
        <v>0.5</v>
      </c>
      <c r="M1229">
        <v>0.5</v>
      </c>
      <c r="N1229">
        <v>0.5</v>
      </c>
    </row>
    <row r="1232" spans="3:14" s="2" customFormat="1" ht="15" x14ac:dyDescent="0.25">
      <c r="C1232" s="9" t="s">
        <v>682</v>
      </c>
      <c r="D1232" s="2" t="s">
        <v>683</v>
      </c>
    </row>
    <row r="1233" spans="3:14" x14ac:dyDescent="0.2">
      <c r="C1233" t="s">
        <v>679</v>
      </c>
    </row>
    <row r="1234" spans="3:14" x14ac:dyDescent="0.2">
      <c r="C1234" t="s">
        <v>672</v>
      </c>
    </row>
    <row r="1235" spans="3:14" ht="15" x14ac:dyDescent="0.25">
      <c r="D1235" s="2">
        <v>2000</v>
      </c>
      <c r="E1235" s="2">
        <v>2005</v>
      </c>
      <c r="F1235" s="2">
        <v>2010</v>
      </c>
      <c r="G1235" s="2">
        <v>2015</v>
      </c>
      <c r="H1235" s="2">
        <v>2020</v>
      </c>
      <c r="I1235" s="2">
        <v>2025</v>
      </c>
      <c r="J1235" s="2">
        <v>2030</v>
      </c>
      <c r="K1235" s="2">
        <v>2035</v>
      </c>
      <c r="L1235" s="2">
        <v>2040</v>
      </c>
      <c r="M1235" s="2">
        <v>2045</v>
      </c>
      <c r="N1235" s="2">
        <v>2050</v>
      </c>
    </row>
    <row r="1236" spans="3:14" x14ac:dyDescent="0.2">
      <c r="C1236" t="s">
        <v>673</v>
      </c>
      <c r="D1236">
        <v>0.4</v>
      </c>
      <c r="E1236">
        <v>0.4</v>
      </c>
      <c r="F1236">
        <v>0.4</v>
      </c>
      <c r="G1236">
        <v>0.5</v>
      </c>
      <c r="H1236">
        <v>0.9</v>
      </c>
      <c r="I1236">
        <v>1.8</v>
      </c>
      <c r="J1236">
        <v>2.8</v>
      </c>
      <c r="K1236">
        <v>6.7</v>
      </c>
      <c r="L1236">
        <v>6.4</v>
      </c>
      <c r="M1236">
        <v>6.6</v>
      </c>
      <c r="N1236">
        <v>6.4</v>
      </c>
    </row>
    <row r="1237" spans="3:14" x14ac:dyDescent="0.2">
      <c r="C1237" t="s">
        <v>674</v>
      </c>
      <c r="D1237">
        <v>0.4</v>
      </c>
      <c r="E1237">
        <v>0.4</v>
      </c>
      <c r="F1237">
        <v>0.4</v>
      </c>
      <c r="G1237">
        <v>0.5</v>
      </c>
      <c r="H1237">
        <v>0.6</v>
      </c>
      <c r="I1237">
        <v>1.2</v>
      </c>
      <c r="J1237">
        <v>1.9</v>
      </c>
      <c r="K1237">
        <v>4.3</v>
      </c>
      <c r="L1237">
        <v>3.5</v>
      </c>
      <c r="M1237">
        <v>3.2</v>
      </c>
      <c r="N1237">
        <v>2.8</v>
      </c>
    </row>
    <row r="1238" spans="3:14" x14ac:dyDescent="0.2">
      <c r="C1238" t="s">
        <v>680</v>
      </c>
      <c r="D1238">
        <v>0.4</v>
      </c>
      <c r="E1238">
        <v>0.4</v>
      </c>
      <c r="F1238">
        <v>0.4</v>
      </c>
      <c r="G1238">
        <v>0.5</v>
      </c>
      <c r="H1238">
        <v>0.6</v>
      </c>
      <c r="I1238">
        <v>0.6</v>
      </c>
      <c r="J1238">
        <v>0.6</v>
      </c>
      <c r="K1238">
        <v>0.6</v>
      </c>
      <c r="L1238">
        <v>0.5</v>
      </c>
      <c r="M1238">
        <v>0.5</v>
      </c>
      <c r="N1238">
        <v>0.5</v>
      </c>
    </row>
    <row r="1239" spans="3:14" x14ac:dyDescent="0.2">
      <c r="C1239" t="s">
        <v>675</v>
      </c>
      <c r="D1239">
        <v>0.4</v>
      </c>
      <c r="E1239">
        <v>0.4</v>
      </c>
      <c r="F1239">
        <v>0.4</v>
      </c>
      <c r="G1239">
        <v>0.5</v>
      </c>
      <c r="H1239">
        <v>0.9</v>
      </c>
      <c r="I1239">
        <v>1.8</v>
      </c>
      <c r="J1239">
        <v>2.8</v>
      </c>
      <c r="K1239">
        <v>6.7</v>
      </c>
      <c r="L1239">
        <v>6.4</v>
      </c>
      <c r="M1239">
        <v>6.6</v>
      </c>
      <c r="N1239">
        <v>6.4</v>
      </c>
    </row>
    <row r="1240" spans="3:14" x14ac:dyDescent="0.2">
      <c r="C1240" t="s">
        <v>676</v>
      </c>
      <c r="D1240">
        <v>0.4</v>
      </c>
      <c r="E1240">
        <v>0.4</v>
      </c>
      <c r="F1240">
        <v>0.4</v>
      </c>
      <c r="G1240">
        <v>0.5</v>
      </c>
      <c r="H1240">
        <v>0.6</v>
      </c>
      <c r="I1240">
        <v>1.2</v>
      </c>
      <c r="J1240">
        <v>1.9</v>
      </c>
      <c r="K1240">
        <v>4.3</v>
      </c>
      <c r="L1240">
        <v>3.5</v>
      </c>
      <c r="M1240">
        <v>3.2</v>
      </c>
      <c r="N1240">
        <v>2.8</v>
      </c>
    </row>
    <row r="1241" spans="3:14" x14ac:dyDescent="0.2">
      <c r="C1241" t="s">
        <v>681</v>
      </c>
      <c r="D1241">
        <v>0.4</v>
      </c>
      <c r="E1241">
        <v>0.4</v>
      </c>
      <c r="F1241">
        <v>0.4</v>
      </c>
      <c r="G1241">
        <v>0.5</v>
      </c>
      <c r="H1241">
        <v>0.6</v>
      </c>
      <c r="I1241">
        <v>0.6</v>
      </c>
      <c r="J1241">
        <v>0.6</v>
      </c>
      <c r="K1241">
        <v>0.6</v>
      </c>
      <c r="L1241">
        <v>0.5</v>
      </c>
      <c r="M1241">
        <v>0.5</v>
      </c>
      <c r="N1241">
        <v>0.5</v>
      </c>
    </row>
  </sheetData>
  <autoFilter ref="C2:C124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Energieperspektiven</vt:lpstr>
    </vt:vector>
  </TitlesOfParts>
  <Company>PSI - Paul Scherrer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Densing Martin</dc:creator>
  <cp:lastModifiedBy>Densing Martin</cp:lastModifiedBy>
  <cp:lastPrinted>2017-05-05T13:43:24Z</cp:lastPrinted>
  <dcterms:created xsi:type="dcterms:W3CDTF">2014-01-28T13:25:37Z</dcterms:created>
  <dcterms:modified xsi:type="dcterms:W3CDTF">2017-05-05T14:34:52Z</dcterms:modified>
</cp:coreProperties>
</file>